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in" sheetId="1" r:id="rId1"/>
    <sheet name="Parameters" sheetId="2" r:id="rId2"/>
    <sheet name="Help" sheetId="3" r:id="rId3"/>
    <sheet name="Changes" sheetId="4" r:id="rId4"/>
    <sheet name="Bursa-Wolf" sheetId="5" state="hidden" r:id="rId5"/>
    <sheet name="Stereo to KD1890" sheetId="6" state="hidden" r:id="rId6"/>
    <sheet name="KD1890 to Stereo" sheetId="7" state="hidden" r:id="rId7"/>
    <sheet name="Stereo70 to S42" sheetId="8" state="hidden" r:id="rId8"/>
    <sheet name="S42 to Stereo70" sheetId="9" state="hidden" r:id="rId9"/>
    <sheet name="GK to S-42" sheetId="10" state="hidden" r:id="rId10"/>
    <sheet name="S-42 to GK" sheetId="11" state="hidden" r:id="rId11"/>
    <sheet name="UTM to WGS84" sheetId="12" state="hidden" r:id="rId12"/>
    <sheet name="WGS84 to UTM" sheetId="13" state="hidden" r:id="rId13"/>
  </sheets>
  <definedNames/>
  <calcPr fullCalcOnLoad="1"/>
</workbook>
</file>

<file path=xl/sharedStrings.xml><?xml version="1.0" encoding="utf-8"?>
<sst xmlns="http://schemas.openxmlformats.org/spreadsheetml/2006/main" count="281" uniqueCount="135">
  <si>
    <t>a1</t>
  </si>
  <si>
    <t>a2</t>
  </si>
  <si>
    <t>f2</t>
  </si>
  <si>
    <t>dX</t>
  </si>
  <si>
    <t>dY</t>
  </si>
  <si>
    <t>dZ</t>
  </si>
  <si>
    <t>M</t>
  </si>
  <si>
    <t>N</t>
  </si>
  <si>
    <t>e1</t>
  </si>
  <si>
    <t>FI2</t>
  </si>
  <si>
    <t>LA2</t>
  </si>
  <si>
    <t>from Gauss-Krüger</t>
  </si>
  <si>
    <t>from UTM</t>
  </si>
  <si>
    <t>Easting</t>
  </si>
  <si>
    <t>Northing</t>
  </si>
  <si>
    <t>latitude</t>
  </si>
  <si>
    <t>longitude</t>
  </si>
  <si>
    <t>to Gauss-Krüger</t>
  </si>
  <si>
    <t>to UTM</t>
  </si>
  <si>
    <t>S-42</t>
  </si>
  <si>
    <t>WGS84</t>
  </si>
  <si>
    <t>from S-42</t>
  </si>
  <si>
    <t>from WGS84</t>
  </si>
  <si>
    <t>Edit the cyan cells ONLY.</t>
  </si>
  <si>
    <t>x</t>
  </si>
  <si>
    <t>y</t>
  </si>
  <si>
    <t>fi0</t>
  </si>
  <si>
    <t>fi</t>
  </si>
  <si>
    <t>a</t>
  </si>
  <si>
    <t>X</t>
  </si>
  <si>
    <t>Y</t>
  </si>
  <si>
    <t>e</t>
  </si>
  <si>
    <t>FE</t>
  </si>
  <si>
    <t>FN</t>
  </si>
  <si>
    <t>lambda0</t>
  </si>
  <si>
    <t>lambda0(rad)</t>
  </si>
  <si>
    <t>fi0 (rad)</t>
  </si>
  <si>
    <t>k0</t>
  </si>
  <si>
    <t>M0</t>
  </si>
  <si>
    <t>mu</t>
  </si>
  <si>
    <t>fi1</t>
  </si>
  <si>
    <t>e'2</t>
  </si>
  <si>
    <t>C1</t>
  </si>
  <si>
    <t>T1</t>
  </si>
  <si>
    <t>N1</t>
  </si>
  <si>
    <t>R1</t>
  </si>
  <si>
    <t>D</t>
  </si>
  <si>
    <t>fi (rad)</t>
  </si>
  <si>
    <t>lambda (rad)</t>
  </si>
  <si>
    <t>lambda</t>
  </si>
  <si>
    <t>T</t>
  </si>
  <si>
    <t>C</t>
  </si>
  <si>
    <t>A</t>
  </si>
  <si>
    <t>ZONE</t>
  </si>
  <si>
    <t>datum</t>
  </si>
  <si>
    <t>latitude (dms)</t>
  </si>
  <si>
    <t>longitude (dms)</t>
  </si>
  <si>
    <t>input------&gt;</t>
  </si>
  <si>
    <t>Distribute freely - please note all changes to the e-mail below.</t>
  </si>
  <si>
    <t>Results are shown by red.</t>
  </si>
  <si>
    <t>PARAMETER PAGE</t>
  </si>
  <si>
    <t>HELP PAGE</t>
  </si>
  <si>
    <t>Usage:</t>
  </si>
  <si>
    <t>the resulting Gauss-Krüger and UTM coordinates will appear below.</t>
  </si>
  <si>
    <t>Besides the grid coordinates, geodetic coordinates on the appropriate datum appear. Do not edit them.</t>
  </si>
  <si>
    <t>When you use one selected box, coordinates in the other two boxes won't change.</t>
  </si>
  <si>
    <t>Method:</t>
  </si>
  <si>
    <t>Concerning the Gauss-Krüger and UTM, the meridians of 0, 6, 12, 18, etc. degrees are real discrimination</t>
  </si>
  <si>
    <t>lines: zone numbers are depending directly on longitudes. E.g. you cannot calculate the UTM Zone 33</t>
  </si>
  <si>
    <t>coordinates of a point situated east of 18 degree in this version.</t>
  </si>
  <si>
    <t>Accuracy:</t>
  </si>
  <si>
    <t>Parameters:</t>
  </si>
  <si>
    <t>FILL THE GREEN FIELDS WITH THE SELECTED PARAMETERS.</t>
  </si>
  <si>
    <t>The Main Page contains three independent calculator boxes. If you have the coordinates to transform</t>
  </si>
  <si>
    <t>Requests:</t>
  </si>
  <si>
    <t>to S-42</t>
  </si>
  <si>
    <t>to WGS84</t>
  </si>
  <si>
    <t>from S-42 to WGS84</t>
  </si>
  <si>
    <t>If used, please refer to the following papers:</t>
  </si>
  <si>
    <t>Changes</t>
  </si>
  <si>
    <t>date</t>
  </si>
  <si>
    <t>eX</t>
  </si>
  <si>
    <t>eY</t>
  </si>
  <si>
    <t>eZ</t>
  </si>
  <si>
    <t>k</t>
  </si>
  <si>
    <t>parameters</t>
  </si>
  <si>
    <t>to HD1863</t>
  </si>
  <si>
    <t>from HD1863</t>
  </si>
  <si>
    <t>fi deg</t>
  </si>
  <si>
    <t>la deg</t>
  </si>
  <si>
    <t>h (meter)</t>
  </si>
  <si>
    <t>b1</t>
  </si>
  <si>
    <t>b2</t>
  </si>
  <si>
    <t>f</t>
  </si>
  <si>
    <t>e2</t>
  </si>
  <si>
    <t>la</t>
  </si>
  <si>
    <t>Z</t>
  </si>
  <si>
    <t>X'</t>
  </si>
  <si>
    <t>Y'</t>
  </si>
  <si>
    <t>Z'</t>
  </si>
  <si>
    <t>e22</t>
  </si>
  <si>
    <t>N2</t>
  </si>
  <si>
    <t>P</t>
  </si>
  <si>
    <t>theta</t>
  </si>
  <si>
    <t>fi2</t>
  </si>
  <si>
    <t>la2</t>
  </si>
  <si>
    <t>h2</t>
  </si>
  <si>
    <t>The Bursa-Wolf datum shift parameters can be set in Parameters page. Edit them with caution.</t>
  </si>
  <si>
    <t>The grid equations are accurate to millimeter-order. The Bursa-Wolf method provides</t>
  </si>
  <si>
    <t>Section/Zone</t>
  </si>
  <si>
    <t>The four panels below are independent.</t>
  </si>
  <si>
    <t>from Stereo-70</t>
  </si>
  <si>
    <t>from 'Marosvásárhely' Stereo</t>
  </si>
  <si>
    <t>to 'Marosvásárhely' Stereo</t>
  </si>
  <si>
    <t>to Stereo-70</t>
  </si>
  <si>
    <t>KD1890</t>
  </si>
  <si>
    <t>from KD1890 to WGS84</t>
  </si>
  <si>
    <t>TRANSFORMATION OF ROMANIAN STEREO-70, 'MAROSVÁSÁRHELY' STEREO (OLD TRANSYLVANIAN GRID) ,GAUSS-KRÜGER AND UTM COORDINATES</t>
  </si>
  <si>
    <t>accuracy ~10 meter, (see the Help page)</t>
  </si>
  <si>
    <t>e.g. in Stereo-70, select the box "from Stereo-70", write your Stereo-70 coordinates to the Input cells, and</t>
  </si>
  <si>
    <t>The software uses the direct and reverse equations of the Stereographic, Gauss-Krüger and UTM projections</t>
  </si>
  <si>
    <t>old Stereo coords are on the Kesztejhegy 1890 datum and UTM coordinates on WGS84 datum. No other interpretations can be set.</t>
  </si>
  <si>
    <t>Timár, G., Molnár, G., Păunescu, C, Pendea, F. (2004): Projection and datum parameters of the Transylvanian sheets of the second and third military surveys.</t>
  </si>
  <si>
    <t>Original title: "A második és harmadik katonai felmérés erdélyi szelvényeinek vetületi és dátumparaméterei"</t>
  </si>
  <si>
    <t>Reference for S42 to WGS84: Viorel Chendes: Resursele de apa din Subcartapii de la curbura. Evaluari geospatiala. Editura Academiei Romana, 339p, ISBN 978-973-2721315</t>
  </si>
  <si>
    <t>2013.06.12</t>
  </si>
  <si>
    <t>Full 7-parameter solution applied between S42 and WGS84</t>
  </si>
  <si>
    <t>Viteaz V2.0</t>
  </si>
  <si>
    <t>not so good accuracy: for all Romania the error can reach two meters.</t>
  </si>
  <si>
    <r>
      <t>(in Hungarian, with English summary).</t>
    </r>
    <r>
      <rPr>
        <i/>
        <sz val="10"/>
        <rFont val="Arial"/>
        <family val="2"/>
      </rPr>
      <t xml:space="preserve"> Geodézia és Kartográfia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56</t>
    </r>
    <r>
      <rPr>
        <sz val="10"/>
        <rFont val="Arial"/>
        <family val="0"/>
      </rPr>
      <t>(5): 12-16.</t>
    </r>
  </si>
  <si>
    <t>(find them in the hidden worksheets). Bursa-Wolf equations are used for transformation between S42 and WGS84,</t>
  </si>
  <si>
    <t>abridged Molodensky for the old Marosvásárhely grid. Stereo-70 and Gauss-Krüger are interpreted on S-42 (Pulkovo) datum,</t>
  </si>
  <si>
    <r>
      <t xml:space="preserve">Compiled by </t>
    </r>
    <r>
      <rPr>
        <b/>
        <sz val="10"/>
        <rFont val="Arial"/>
        <family val="2"/>
      </rPr>
      <t>Gábor Timár</t>
    </r>
    <r>
      <rPr>
        <sz val="10"/>
        <rFont val="Arial"/>
        <family val="0"/>
      </rPr>
      <t xml:space="preserve">, Dept. of Geophysics and Space Sciences, Eötvös University of Budapest, e-mail: </t>
    </r>
    <r>
      <rPr>
        <u val="single"/>
        <sz val="10"/>
        <color indexed="12"/>
        <rFont val="Arial"/>
        <family val="2"/>
      </rPr>
      <t>timar@caesar.elte.hu</t>
    </r>
  </si>
  <si>
    <r>
      <t xml:space="preserve">Please note all of your changes to </t>
    </r>
    <r>
      <rPr>
        <u val="single"/>
        <sz val="10"/>
        <color indexed="12"/>
        <rFont val="Arial"/>
        <family val="2"/>
      </rPr>
      <t>timar@caesar.elte.hu</t>
    </r>
    <r>
      <rPr>
        <sz val="10"/>
        <rFont val="Arial"/>
        <family val="0"/>
      </rPr>
      <t>, along with the modified table.</t>
    </r>
  </si>
  <si>
    <t>Reference for S42 to WGS84: Chendes, V. (2012): Resursele de apa din Subcarpatii de la curbura. Evaluari geospatiala. Editura Academiei Romana, 339p, ISBN 978-973-2721315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</si>
</sst>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&quot;Zone&quot;\ #"/>
    <numFmt numFmtId="174" formatCode="0.00000"/>
    <numFmt numFmtId="175" formatCode="0.00000000"/>
    <numFmt numFmtId="176" formatCode="0.0000"/>
    <numFmt numFmtId="17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1" fontId="0" fillId="5" borderId="0" xfId="0" applyNumberForma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173" fontId="2" fillId="0" borderId="3" xfId="0" applyNumberFormat="1" applyFont="1" applyBorder="1" applyAlignment="1">
      <alignment/>
    </xf>
    <xf numFmtId="173" fontId="0" fillId="5" borderId="0" xfId="0" applyNumberFormat="1" applyFill="1" applyBorder="1" applyAlignment="1">
      <alignment/>
    </xf>
    <xf numFmtId="0" fontId="1" fillId="6" borderId="6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174" fontId="2" fillId="0" borderId="0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4" fontId="2" fillId="0" borderId="3" xfId="0" applyNumberFormat="1" applyFont="1" applyBorder="1" applyAlignment="1">
      <alignment/>
    </xf>
    <xf numFmtId="174" fontId="2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5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1" fontId="2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73" fontId="2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2" sqref="A2"/>
    </sheetView>
  </sheetViews>
  <sheetFormatPr defaultColWidth="9.140625" defaultRowHeight="12.75"/>
  <cols>
    <col min="2" max="2" width="18.00390625" style="0" customWidth="1"/>
    <col min="5" max="5" width="11.57421875" style="0" customWidth="1"/>
    <col min="9" max="10" width="3.57421875" style="0" customWidth="1"/>
    <col min="11" max="11" width="5.7109375" style="0" customWidth="1"/>
    <col min="12" max="13" width="3.57421875" style="0" customWidth="1"/>
    <col min="14" max="14" width="6.28125" style="0" customWidth="1"/>
  </cols>
  <sheetData>
    <row r="1" ht="12.75">
      <c r="A1" s="7" t="s">
        <v>117</v>
      </c>
    </row>
    <row r="2" spans="1:3" ht="12.75">
      <c r="A2" s="34" t="s">
        <v>127</v>
      </c>
      <c r="C2" t="s">
        <v>58</v>
      </c>
    </row>
    <row r="3" ht="12.75">
      <c r="A3" t="s">
        <v>118</v>
      </c>
    </row>
    <row r="4" spans="1:7" ht="13.5" thickBot="1">
      <c r="A4" s="7" t="s">
        <v>23</v>
      </c>
      <c r="D4" t="s">
        <v>59</v>
      </c>
      <c r="G4" s="7" t="s">
        <v>110</v>
      </c>
    </row>
    <row r="5" spans="1:14" ht="12.75">
      <c r="A5" s="22" t="s">
        <v>111</v>
      </c>
      <c r="B5" s="23"/>
      <c r="C5" s="23" t="s">
        <v>13</v>
      </c>
      <c r="D5" s="23" t="s">
        <v>14</v>
      </c>
      <c r="E5" s="23" t="s">
        <v>109</v>
      </c>
      <c r="F5" s="24" t="s">
        <v>54</v>
      </c>
      <c r="G5" s="23" t="s">
        <v>15</v>
      </c>
      <c r="H5" s="25" t="s">
        <v>16</v>
      </c>
      <c r="I5" s="23" t="s">
        <v>55</v>
      </c>
      <c r="J5" s="23"/>
      <c r="K5" s="23"/>
      <c r="L5" s="23" t="s">
        <v>56</v>
      </c>
      <c r="M5" s="23"/>
      <c r="N5" s="25"/>
    </row>
    <row r="6" spans="1:14" ht="12.75">
      <c r="A6" s="26"/>
      <c r="B6" s="27" t="s">
        <v>57</v>
      </c>
      <c r="C6" s="10">
        <v>500000</v>
      </c>
      <c r="D6" s="10">
        <v>500000</v>
      </c>
      <c r="E6" s="52"/>
      <c r="F6" s="1" t="s">
        <v>19</v>
      </c>
      <c r="G6" s="30">
        <f>'Stereo70 to S42'!AN1</f>
        <v>45.999999999999986</v>
      </c>
      <c r="H6" s="30">
        <f>'Stereo70 to S42'!AO1</f>
        <v>25</v>
      </c>
      <c r="I6" s="13">
        <f>TRUNC(G6)</f>
        <v>46</v>
      </c>
      <c r="J6" s="13">
        <f>TRUNC((G6-I6)*60)</f>
        <v>0</v>
      </c>
      <c r="K6" s="16">
        <f>3600*(G6-I6-J6/60)</f>
        <v>-5.1159076974727213E-11</v>
      </c>
      <c r="L6" s="13">
        <f>TRUNC(H6)</f>
        <v>25</v>
      </c>
      <c r="M6" s="13">
        <f>TRUNC((H6-L6)*60)</f>
        <v>0</v>
      </c>
      <c r="N6" s="17">
        <f>3600*(H6-L6-M6/60)</f>
        <v>0</v>
      </c>
    </row>
    <row r="7" spans="1:14" ht="12.75">
      <c r="A7" s="26" t="s">
        <v>17</v>
      </c>
      <c r="B7" s="27"/>
      <c r="C7" s="11">
        <f>'S-42 to GK'!W2</f>
        <v>5345071.871684309</v>
      </c>
      <c r="D7" s="11">
        <f>'S-42 to GK'!X2</f>
        <v>5098121.236311352</v>
      </c>
      <c r="E7" s="52" t="str">
        <f>CONCATENATE(CHAR(TRUNC(G7/4)+65),CHAR(45),FIXED(31+TRUNC(H7/6),0,-1),CHAR(45),FIXED(12*(11-TRUNC(MOD(G7,4)*3))+TRUNC(MOD(H7,6)*2)+1,0,-1),CHAR(45),CHAR(65+(SIGN(MOD(H7-I7-10,1/2)-1/4)+1)/2-SIGN(MOD(G7+I7-10,1/3)-1/6)+1),CHAR(97+(SIGN(MOD(H7-I7-10,1/4)-1/8)+1)/2-SIGN(MOD(G7+I7-10,1/6)-1/12)+1))</f>
        <v>L-35-75-Cc</v>
      </c>
      <c r="F7" s="1" t="s">
        <v>19</v>
      </c>
      <c r="G7" s="30">
        <f>'Bursa-Wolf'!AI3</f>
        <v>45.999999999999986</v>
      </c>
      <c r="H7" s="31">
        <f>'Bursa-Wolf'!AJ3</f>
        <v>25.000000000000004</v>
      </c>
      <c r="I7" s="13">
        <f>TRUNC(G7)</f>
        <v>46</v>
      </c>
      <c r="J7" s="13">
        <f>TRUNC((G7-I7)*60)</f>
        <v>0</v>
      </c>
      <c r="K7" s="16">
        <f>3600*(G7-I7-J7/60)</f>
        <v>-5.1159076974727213E-11</v>
      </c>
      <c r="L7" s="13">
        <f>TRUNC(H7)</f>
        <v>25</v>
      </c>
      <c r="M7" s="13">
        <f>TRUNC((H7-L7)*60)</f>
        <v>0</v>
      </c>
      <c r="N7" s="17">
        <f>3600*(H7-L7-M7/60)</f>
        <v>1.2789769243681803E-11</v>
      </c>
    </row>
    <row r="8" spans="1:14" ht="12.75">
      <c r="A8" s="26" t="s">
        <v>113</v>
      </c>
      <c r="B8" s="27"/>
      <c r="C8" s="11">
        <f>'KD1890 to Stereo'!AF1</f>
        <v>647292.78850842</v>
      </c>
      <c r="D8" s="11">
        <f>'KD1890 to Stereo'!AG1</f>
        <v>538688.454609243</v>
      </c>
      <c r="E8" s="52" t="str">
        <f>CONCATENATE(FIXED(TRUNC((60-G8)*4),0,-1),FIXED(TRUNC((H8+17+40/60-5.5)/0.5),0,-1),CHAR(45),CHAR(49+2-(1+(SIGN(MOD(G8+0.0000000001,1/4)-1/8)))+(1+SIGN(MOD((H8+17+40/60)+0.0000000001,1/2)-1/4))/2))</f>
        <v>5674-1</v>
      </c>
      <c r="F8" s="2" t="s">
        <v>115</v>
      </c>
      <c r="G8" s="30">
        <f>'Bursa-Wolf'!AI5</f>
        <v>45.99918500265682</v>
      </c>
      <c r="H8" s="31">
        <f>'Bursa-Wolf'!AJ5</f>
        <v>25.00361025807164</v>
      </c>
      <c r="I8" s="13">
        <f>TRUNC(G8)</f>
        <v>45</v>
      </c>
      <c r="J8" s="13">
        <f>TRUNC((G8-I8)*60)</f>
        <v>59</v>
      </c>
      <c r="K8" s="16">
        <f>3600*(G8-I8-J8/60)</f>
        <v>57.06600956456289</v>
      </c>
      <c r="L8" s="13">
        <f>TRUNC(H8)</f>
        <v>25</v>
      </c>
      <c r="M8" s="13">
        <f>TRUNC((H8-L8)*60)</f>
        <v>0</v>
      </c>
      <c r="N8" s="17">
        <f>3600*(H8-L8-M8/60)</f>
        <v>12.99692905789982</v>
      </c>
    </row>
    <row r="9" spans="1:14" ht="13.5" thickBot="1">
      <c r="A9" s="28" t="s">
        <v>18</v>
      </c>
      <c r="B9" s="29"/>
      <c r="C9" s="12">
        <f>'WGS84 to UTM'!W2</f>
        <v>345015.30759759655</v>
      </c>
      <c r="D9" s="12">
        <f>'WGS84 to UTM'!X2</f>
        <v>5095963.886582827</v>
      </c>
      <c r="E9" s="20">
        <f>'WGS84 to UTM'!Y2</f>
        <v>35</v>
      </c>
      <c r="F9" s="3" t="s">
        <v>20</v>
      </c>
      <c r="G9" s="32">
        <f>'Bursa-Wolf'!AI4</f>
        <v>45.99971820686065</v>
      </c>
      <c r="H9" s="33">
        <f>'Bursa-Wolf'!AJ4</f>
        <v>24.998445939895596</v>
      </c>
      <c r="I9" s="14">
        <f>TRUNC(G9)</f>
        <v>45</v>
      </c>
      <c r="J9" s="14">
        <f>TRUNC((G9-I9)*60)</f>
        <v>59</v>
      </c>
      <c r="K9" s="18">
        <f>3600*(G9-I9-J9/60)</f>
        <v>58.985544698337165</v>
      </c>
      <c r="L9" s="14">
        <f>TRUNC(H9)</f>
        <v>24</v>
      </c>
      <c r="M9" s="14">
        <f>TRUNC((H9-L9)*60)</f>
        <v>59</v>
      </c>
      <c r="N9" s="19">
        <f>3600*(H9-L9-M9/60)</f>
        <v>54.40538362414675</v>
      </c>
    </row>
    <row r="10" spans="9:14" ht="13.5" thickBot="1">
      <c r="I10" s="9"/>
      <c r="J10" s="9"/>
      <c r="K10" s="15"/>
      <c r="L10" s="9"/>
      <c r="M10" s="9"/>
      <c r="N10" s="15"/>
    </row>
    <row r="11" spans="1:14" ht="12.75">
      <c r="A11" s="22" t="s">
        <v>11</v>
      </c>
      <c r="B11" s="23"/>
      <c r="C11" s="23" t="s">
        <v>13</v>
      </c>
      <c r="D11" s="23" t="s">
        <v>14</v>
      </c>
      <c r="E11" s="23" t="s">
        <v>109</v>
      </c>
      <c r="F11" s="24" t="s">
        <v>54</v>
      </c>
      <c r="G11" s="23" t="s">
        <v>15</v>
      </c>
      <c r="H11" s="25" t="s">
        <v>16</v>
      </c>
      <c r="I11" s="23" t="s">
        <v>55</v>
      </c>
      <c r="J11" s="23"/>
      <c r="K11" s="23"/>
      <c r="L11" s="23" t="s">
        <v>56</v>
      </c>
      <c r="M11" s="23"/>
      <c r="N11" s="25"/>
    </row>
    <row r="12" spans="1:14" ht="12.75">
      <c r="A12" s="26"/>
      <c r="B12" s="27" t="s">
        <v>57</v>
      </c>
      <c r="C12" s="10">
        <v>5299806</v>
      </c>
      <c r="D12" s="10">
        <v>5160980</v>
      </c>
      <c r="E12" s="52" t="str">
        <f>CONCATENATE(CHAR(TRUNC(G12/4)+65),CHAR(45),FIXED(31+TRUNC(H12/6),0,-1),CHAR(45),FIXED(12*(11-TRUNC(MOD(G12,4)*3))+TRUNC(MOD(H12,6)*2)+1,0,-1),CHAR(45),CHAR(65+(SIGN(MOD(H12-I12-10,1/2)-1/4)+1)/2-SIGN(MOD(G12+I12-10,1/3)-1/6)+1),CHAR(97+(SIGN(MOD(H12-I12-10,1/4)-1/8)+1)/2-SIGN(MOD(G12+I12-10,1/6)-1/12)+1))</f>
        <v>L-35-49-Bd</v>
      </c>
      <c r="F12" s="1" t="s">
        <v>19</v>
      </c>
      <c r="G12" s="30">
        <f>'GK to S-42'!AA2</f>
        <v>46.55319195393293</v>
      </c>
      <c r="H12" s="31">
        <f>'GK to S-42'!AB2</f>
        <v>24.38948582664092</v>
      </c>
      <c r="I12" s="13">
        <f>TRUNC(G12)</f>
        <v>46</v>
      </c>
      <c r="J12" s="13">
        <f>TRUNC((G12-I12)*60)</f>
        <v>33</v>
      </c>
      <c r="K12" s="16">
        <f>3600*(G12-I12-J12/60)</f>
        <v>11.491034158550928</v>
      </c>
      <c r="L12" s="13">
        <f>TRUNC(H12)</f>
        <v>24</v>
      </c>
      <c r="M12" s="13">
        <f>TRUNC((H12-L12)*60)</f>
        <v>23</v>
      </c>
      <c r="N12" s="17">
        <f>3600*(H12-L12-M12/60)</f>
        <v>22.14897590731757</v>
      </c>
    </row>
    <row r="13" spans="1:14" ht="12.75">
      <c r="A13" s="26" t="s">
        <v>114</v>
      </c>
      <c r="B13" s="27"/>
      <c r="C13" s="11">
        <f>'S42 to Stereo70'!AF1</f>
        <v>453191.15813276113</v>
      </c>
      <c r="D13" s="11">
        <f>'S42 to Stereo70'!AG1</f>
        <v>561657.3918266685</v>
      </c>
      <c r="E13" s="52"/>
      <c r="F13" s="1" t="s">
        <v>19</v>
      </c>
      <c r="G13" s="30">
        <f>'Bursa-Wolf'!AI7</f>
        <v>46.55319195393293</v>
      </c>
      <c r="H13" s="31">
        <f>'Bursa-Wolf'!AJ7</f>
        <v>24.389485826640918</v>
      </c>
      <c r="I13" s="13">
        <f>TRUNC(G13)</f>
        <v>46</v>
      </c>
      <c r="J13" s="13">
        <f>TRUNC((G13-I13)*60)</f>
        <v>33</v>
      </c>
      <c r="K13" s="16">
        <f>3600*(G13-I13-J13/60)</f>
        <v>11.491034158550928</v>
      </c>
      <c r="L13" s="13">
        <f>TRUNC(H13)</f>
        <v>24</v>
      </c>
      <c r="M13" s="13">
        <f>TRUNC((H13-L13)*60)</f>
        <v>23</v>
      </c>
      <c r="N13" s="17">
        <f>3600*(H13-L13-M13/60)</f>
        <v>22.14897590730478</v>
      </c>
    </row>
    <row r="14" spans="1:14" ht="12.75">
      <c r="A14" s="26" t="s">
        <v>113</v>
      </c>
      <c r="B14" s="27"/>
      <c r="C14" s="11">
        <f>'KD1890 to Stereo'!AF2</f>
        <v>600001.1008319361</v>
      </c>
      <c r="D14" s="11">
        <f>'KD1890 to Stereo'!AG2</f>
        <v>600001.3185793816</v>
      </c>
      <c r="E14" s="52" t="str">
        <f>CONCATENATE(FIXED(TRUNC((60-G14)*4),0,-1),FIXED(TRUNC((H14+17+40/60-5.5)/0.5),0,-1),CHAR(45),CHAR(49+2-(1+(SIGN(MOD(G14+0.0000000001,1/4)-1/8)))+(1+SIGN(MOD((H14+17+40/60)+0.0000000001,1/2)-1/4))/2))</f>
        <v>5373-3</v>
      </c>
      <c r="F14" s="2" t="s">
        <v>115</v>
      </c>
      <c r="G14" s="30">
        <f>'Bursa-Wolf'!AI9</f>
        <v>46.55247019642811</v>
      </c>
      <c r="H14" s="31">
        <f>'Bursa-Wolf'!AJ9</f>
        <v>24.39305185628984</v>
      </c>
      <c r="I14" s="13">
        <f>TRUNC(G14)</f>
        <v>46</v>
      </c>
      <c r="J14" s="13">
        <f>TRUNC((G14-I14)*60)</f>
        <v>33</v>
      </c>
      <c r="K14" s="16">
        <f>3600*(G14-I14-J14/60)</f>
        <v>8.892707141198297</v>
      </c>
      <c r="L14" s="13">
        <f>TRUNC(H14)</f>
        <v>24</v>
      </c>
      <c r="M14" s="13">
        <f>TRUNC((H14-L14)*60)</f>
        <v>23</v>
      </c>
      <c r="N14" s="17">
        <f>3600*(H14-L14-M14/60)</f>
        <v>34.98668264342617</v>
      </c>
    </row>
    <row r="15" spans="1:14" ht="13.5" thickBot="1">
      <c r="A15" s="28" t="s">
        <v>18</v>
      </c>
      <c r="B15" s="29"/>
      <c r="C15" s="12">
        <f>'WGS84 to UTM'!W3</f>
        <v>299767.44387862517</v>
      </c>
      <c r="D15" s="12">
        <f>'WGS84 to UTM'!X3</f>
        <v>5158797.460162873</v>
      </c>
      <c r="E15" s="20">
        <f>'WGS84 to UTM'!Y3</f>
        <v>35</v>
      </c>
      <c r="F15" s="3" t="s">
        <v>20</v>
      </c>
      <c r="G15" s="32">
        <f>'Bursa-Wolf'!AI8</f>
        <v>46.55291062198931</v>
      </c>
      <c r="H15" s="33">
        <f>'Bursa-Wolf'!AJ8</f>
        <v>24.387908112080993</v>
      </c>
      <c r="I15" s="14">
        <f>TRUNC(G15)</f>
        <v>46</v>
      </c>
      <c r="J15" s="14">
        <f>TRUNC((G15-I15)*60)</f>
        <v>33</v>
      </c>
      <c r="K15" s="18">
        <f>3600*(G15-I15-J15/60)</f>
        <v>10.478239161524083</v>
      </c>
      <c r="L15" s="14">
        <f>TRUNC(H15)</f>
        <v>24</v>
      </c>
      <c r="M15" s="14">
        <f>TRUNC((H15-L15)*60)</f>
        <v>23</v>
      </c>
      <c r="N15" s="19">
        <f>3600*(H15-L15-M15/60)</f>
        <v>16.46920349157417</v>
      </c>
    </row>
    <row r="16" spans="9:14" ht="13.5" thickBot="1">
      <c r="I16" s="9"/>
      <c r="J16" s="9"/>
      <c r="K16" s="15"/>
      <c r="L16" s="9"/>
      <c r="M16" s="9"/>
      <c r="N16" s="15"/>
    </row>
    <row r="17" spans="1:14" ht="12.75">
      <c r="A17" s="22" t="s">
        <v>12</v>
      </c>
      <c r="B17" s="23"/>
      <c r="C17" s="23" t="s">
        <v>13</v>
      </c>
      <c r="D17" s="23" t="s">
        <v>14</v>
      </c>
      <c r="E17" s="23" t="s">
        <v>109</v>
      </c>
      <c r="F17" s="24" t="s">
        <v>54</v>
      </c>
      <c r="G17" s="23" t="s">
        <v>15</v>
      </c>
      <c r="H17" s="25" t="s">
        <v>16</v>
      </c>
      <c r="I17" s="23" t="s">
        <v>55</v>
      </c>
      <c r="J17" s="23"/>
      <c r="K17" s="23"/>
      <c r="L17" s="23" t="s">
        <v>56</v>
      </c>
      <c r="M17" s="23"/>
      <c r="N17" s="25"/>
    </row>
    <row r="18" spans="1:14" ht="12.75">
      <c r="A18" s="26"/>
      <c r="B18" s="27" t="s">
        <v>57</v>
      </c>
      <c r="C18" s="10">
        <v>345014</v>
      </c>
      <c r="D18" s="10">
        <v>5095963</v>
      </c>
      <c r="E18" s="21">
        <v>35</v>
      </c>
      <c r="F18" s="1" t="s">
        <v>20</v>
      </c>
      <c r="G18" s="30">
        <f>'UTM to WGS84'!AB2</f>
        <v>45.99970993805399</v>
      </c>
      <c r="H18" s="31">
        <f>'UTM to WGS84'!AC2</f>
        <v>24.998429351704594</v>
      </c>
      <c r="I18" s="13">
        <f>TRUNC(G18)</f>
        <v>45</v>
      </c>
      <c r="J18" s="13">
        <f>TRUNC((G18-I18)*60)</f>
        <v>59</v>
      </c>
      <c r="K18" s="16">
        <f>3600*(G18-I18-J18/60)</f>
        <v>58.955776994361784</v>
      </c>
      <c r="L18" s="13">
        <f>TRUNC(H18)</f>
        <v>24</v>
      </c>
      <c r="M18" s="13">
        <f>TRUNC((H18-L18)*60)</f>
        <v>59</v>
      </c>
      <c r="N18" s="17">
        <f>3600*(H18-L18-M18/60)</f>
        <v>54.34566613653904</v>
      </c>
    </row>
    <row r="19" spans="1:14" ht="12.75">
      <c r="A19" s="26" t="s">
        <v>114</v>
      </c>
      <c r="B19" s="27"/>
      <c r="C19" s="11">
        <f>'S42 to Stereo70'!AF2</f>
        <v>499998.7170657323</v>
      </c>
      <c r="D19" s="11">
        <f>'S42 to Stereo70'!AG2</f>
        <v>499999.08132234594</v>
      </c>
      <c r="E19" s="52"/>
      <c r="F19" s="1" t="s">
        <v>19</v>
      </c>
      <c r="G19" s="30">
        <f>'Bursa-Wolf'!AI11</f>
        <v>45.99999173296576</v>
      </c>
      <c r="H19" s="31">
        <f>'Bursa-Wolf'!AJ11</f>
        <v>24.999983434303783</v>
      </c>
      <c r="I19" s="13">
        <f>TRUNC(G19)</f>
        <v>45</v>
      </c>
      <c r="J19" s="13">
        <f>TRUNC((G19-I19)*60)</f>
        <v>59</v>
      </c>
      <c r="K19" s="16">
        <f>3600*(G19-I19-J19/60)</f>
        <v>59.97023867673836</v>
      </c>
      <c r="L19" s="13">
        <f>TRUNC(H19)</f>
        <v>24</v>
      </c>
      <c r="M19" s="13">
        <f>TRUNC((H19-L19)*60)</f>
        <v>59</v>
      </c>
      <c r="N19" s="17">
        <f>3600*(H19-L19-M19/60)</f>
        <v>59.9403634936174</v>
      </c>
    </row>
    <row r="20" spans="1:14" ht="12.75">
      <c r="A20" s="26" t="s">
        <v>113</v>
      </c>
      <c r="B20" s="27"/>
      <c r="C20" s="11">
        <f>'KD1890 to Stereo'!AF3</f>
        <v>647291.5128863774</v>
      </c>
      <c r="D20" s="11">
        <f>'KD1890 to Stereo'!AG3</f>
        <v>538687.5253627967</v>
      </c>
      <c r="E20" s="52" t="str">
        <f>CONCATENATE(FIXED(TRUNC((60-G20)*4),0,-1),FIXED(TRUNC((H20+17+40/60-5.5)/0.5),0,-1),CHAR(45),CHAR(49+2-(1+(SIGN(MOD(G20+0.0000000001,1/4)-1/8)))+(1+SIGN(MOD((H20+17+40/60)+0.0000000001,1/2)-1/4))/2))</f>
        <v>5674-1</v>
      </c>
      <c r="F20" s="2" t="s">
        <v>115</v>
      </c>
      <c r="G20" s="30">
        <f>'Bursa-Wolf'!AI13</f>
        <v>45.99917673047543</v>
      </c>
      <c r="H20" s="31">
        <f>'Bursa-Wolf'!AJ13</f>
        <v>25.003593697587288</v>
      </c>
      <c r="I20" s="13">
        <f>TRUNC(G20)</f>
        <v>45</v>
      </c>
      <c r="J20" s="13">
        <f>TRUNC((G20-I20)*60)</f>
        <v>59</v>
      </c>
      <c r="K20" s="16">
        <f>3600*(G20-I20-J20/60)</f>
        <v>57.036229711560125</v>
      </c>
      <c r="L20" s="13">
        <f>TRUNC(H20)</f>
        <v>25</v>
      </c>
      <c r="M20" s="13">
        <f>TRUNC((H20-L20)*60)</f>
        <v>0</v>
      </c>
      <c r="N20" s="17">
        <f>3600*(H20-L20-M20/60)</f>
        <v>12.93731131423641</v>
      </c>
    </row>
    <row r="21" spans="1:14" ht="13.5" thickBot="1">
      <c r="A21" s="26" t="s">
        <v>17</v>
      </c>
      <c r="B21" s="27"/>
      <c r="C21" s="11">
        <f>'S-42 to GK'!W3</f>
        <v>5345070.565373101</v>
      </c>
      <c r="D21" s="11">
        <f>'S-42 to GK'!X3</f>
        <v>5098120.349657442</v>
      </c>
      <c r="E21" s="52" t="str">
        <f>CONCATENATE(CHAR(TRUNC(G21/4)+65),CHAR(45),FIXED(31+TRUNC(H21/6),0,-1),CHAR(45),FIXED(12*(11-TRUNC(MOD(G21,4)*3))+TRUNC(MOD(H21,6)*2)+1,0,-1),CHAR(45),CHAR(65+(SIGN(MOD(H21-I21-10,1/2)-1/4)+1)/2-SIGN(MOD(G21+I21-10,1/3)-1/6)+1),CHAR(97+(SIGN(MOD(H21-I21-10,1/4)-1/8)+1)/2-SIGN(MOD(G21+I21-10,1/6)-1/12)+1))</f>
        <v>L-35-74-Bb</v>
      </c>
      <c r="F21" s="3" t="s">
        <v>19</v>
      </c>
      <c r="G21" s="32">
        <f>'Bursa-Wolf'!AI12</f>
        <v>45.99999173296576</v>
      </c>
      <c r="H21" s="33">
        <f>'Bursa-Wolf'!AJ12</f>
        <v>24.999983434303783</v>
      </c>
      <c r="I21" s="14">
        <f>TRUNC(G21)</f>
        <v>45</v>
      </c>
      <c r="J21" s="14">
        <f>TRUNC((G21-I21)*60)</f>
        <v>59</v>
      </c>
      <c r="K21" s="18">
        <f>3600*(G21-I21-J21/60)</f>
        <v>59.97023867673836</v>
      </c>
      <c r="L21" s="14">
        <f>TRUNC(H21)</f>
        <v>24</v>
      </c>
      <c r="M21" s="14">
        <f>TRUNC((H21-L21)*60)</f>
        <v>59</v>
      </c>
      <c r="N21" s="19">
        <f>3600*(H21-L21-M21/60)</f>
        <v>59.9403634936174</v>
      </c>
    </row>
    <row r="22" spans="1:14" ht="13.5" thickBot="1">
      <c r="A22" s="48"/>
      <c r="B22" s="47"/>
      <c r="C22" s="49"/>
      <c r="D22" s="49"/>
      <c r="E22" s="50"/>
      <c r="F22" s="2"/>
      <c r="G22" s="30"/>
      <c r="H22" s="30"/>
      <c r="I22" s="13"/>
      <c r="J22" s="13"/>
      <c r="K22" s="16"/>
      <c r="L22" s="13"/>
      <c r="M22" s="13"/>
      <c r="N22" s="17"/>
    </row>
    <row r="23" spans="1:14" ht="12.75">
      <c r="A23" s="22" t="s">
        <v>112</v>
      </c>
      <c r="B23" s="23"/>
      <c r="C23" s="23" t="s">
        <v>13</v>
      </c>
      <c r="D23" s="23" t="s">
        <v>14</v>
      </c>
      <c r="E23" s="23" t="s">
        <v>109</v>
      </c>
      <c r="F23" s="23" t="s">
        <v>54</v>
      </c>
      <c r="G23" s="23" t="s">
        <v>15</v>
      </c>
      <c r="H23" s="25" t="s">
        <v>16</v>
      </c>
      <c r="I23" s="23" t="s">
        <v>55</v>
      </c>
      <c r="J23" s="23"/>
      <c r="K23" s="23"/>
      <c r="L23" s="23" t="s">
        <v>56</v>
      </c>
      <c r="M23" s="23"/>
      <c r="N23" s="25"/>
    </row>
    <row r="24" spans="1:14" ht="12.75">
      <c r="A24" s="26"/>
      <c r="B24" s="27" t="s">
        <v>57</v>
      </c>
      <c r="C24" s="10">
        <v>600000</v>
      </c>
      <c r="D24" s="10">
        <v>600000</v>
      </c>
      <c r="E24" s="53" t="str">
        <f>CONCATENATE(FIXED(TRUNC((60-G24)*4),0,-1),FIXED(TRUNC((H24+17+40/60-5.5)/0.5),0,-1),CHAR(45),CHAR(49+2-(1+(SIGN(MOD(G24+0.0000000001,1/4)-1/8)))+(1+SIGN(MOD((H24+17+40/60)+0.0000000001,1/2)-1/4))/2))</f>
        <v>5373-3</v>
      </c>
      <c r="F24" s="2" t="s">
        <v>115</v>
      </c>
      <c r="G24" s="30">
        <f>'Stereo to KD1890'!AN1</f>
        <v>46.552458333333334</v>
      </c>
      <c r="H24" s="31">
        <f>'Stereo to KD1890'!AO1</f>
        <v>24.393037500000002</v>
      </c>
      <c r="I24" s="13">
        <f>TRUNC(G24)</f>
        <v>46</v>
      </c>
      <c r="J24" s="13">
        <f>TRUNC((G24-I24)*60)</f>
        <v>33</v>
      </c>
      <c r="K24" s="16">
        <f>3600*(G24-I24-J24/60)</f>
        <v>8.850000000002023</v>
      </c>
      <c r="L24" s="13">
        <f>TRUNC(H24)</f>
        <v>24</v>
      </c>
      <c r="M24" s="13">
        <f>TRUNC((H24-L24)*60)</f>
        <v>23</v>
      </c>
      <c r="N24" s="17">
        <f>3600*(H24-L24-M24/60)</f>
        <v>34.935000000006845</v>
      </c>
    </row>
    <row r="25" spans="1:14" ht="12.75">
      <c r="A25" s="26" t="s">
        <v>114</v>
      </c>
      <c r="B25" s="27"/>
      <c r="C25" s="11">
        <f>'S42 to Stereo70'!AF3</f>
        <v>453190.0479576164</v>
      </c>
      <c r="D25" s="11">
        <f>'S42 to Stereo70'!AG3</f>
        <v>561656.0798871352</v>
      </c>
      <c r="E25" s="53"/>
      <c r="F25" s="2" t="s">
        <v>19</v>
      </c>
      <c r="G25" s="30">
        <f>'Bursa-Wolf'!AI15</f>
        <v>46.553180073009436</v>
      </c>
      <c r="H25" s="31">
        <f>'Bursa-Wolf'!AJ15</f>
        <v>24.389471479419246</v>
      </c>
      <c r="I25" s="13">
        <f>TRUNC(G25)</f>
        <v>46</v>
      </c>
      <c r="J25" s="13">
        <f>TRUNC((G25-I25)*60)</f>
        <v>33</v>
      </c>
      <c r="K25" s="16">
        <f>3600*(G25-I25-J25/60)</f>
        <v>11.448262833969647</v>
      </c>
      <c r="L25" s="13">
        <f>TRUNC(H25)</f>
        <v>24</v>
      </c>
      <c r="M25" s="13">
        <f>TRUNC((H25-L25)*60)</f>
        <v>23</v>
      </c>
      <c r="N25" s="17">
        <f>3600*(H25-L25-M25/60)</f>
        <v>22.097325909285438</v>
      </c>
    </row>
    <row r="26" spans="1:14" ht="12.75">
      <c r="A26" s="26" t="s">
        <v>18</v>
      </c>
      <c r="B26" s="27"/>
      <c r="C26" s="11">
        <f>'WGS84 to UTM'!W4</f>
        <v>299766.30018455966</v>
      </c>
      <c r="D26" s="11">
        <f>'WGS84 to UTM'!X4</f>
        <v>5158796.178530945</v>
      </c>
      <c r="E26" s="51">
        <f>'WGS84 to UTM'!Y4</f>
        <v>35</v>
      </c>
      <c r="F26" s="2" t="s">
        <v>20</v>
      </c>
      <c r="G26" s="30">
        <f>'Bursa-Wolf'!AI17</f>
        <v>46.55289875942881</v>
      </c>
      <c r="H26" s="31">
        <f>'Bursa-Wolf'!AJ17</f>
        <v>24.38789376124304</v>
      </c>
      <c r="I26" s="13">
        <f>TRUNC(G26)</f>
        <v>46</v>
      </c>
      <c r="J26" s="13">
        <f>TRUNC((G26-I26)*60)</f>
        <v>33</v>
      </c>
      <c r="K26" s="16">
        <f>3600*(G26-I26-J26/60)</f>
        <v>10.435533943704467</v>
      </c>
      <c r="L26" s="13">
        <f>TRUNC(H26)</f>
        <v>24</v>
      </c>
      <c r="M26" s="13">
        <f>TRUNC((H26-L26)*60)</f>
        <v>23</v>
      </c>
      <c r="N26" s="17">
        <f>3600*(H26-L26-M26/60)</f>
        <v>16.417540474938242</v>
      </c>
    </row>
    <row r="27" spans="1:14" ht="13.5" thickBot="1">
      <c r="A27" s="28" t="s">
        <v>17</v>
      </c>
      <c r="B27" s="29"/>
      <c r="C27" s="12">
        <f>'S-42 to GK'!W4</f>
        <v>5299804.856222963</v>
      </c>
      <c r="D27" s="12">
        <f>'S-42 to GK'!X4</f>
        <v>5160978.7159457775</v>
      </c>
      <c r="E27" s="54" t="str">
        <f>CONCATENATE(CHAR(TRUNC(G27/4)+65),CHAR(45),FIXED(31+TRUNC(H27/6),0,-1),CHAR(45),FIXED(12*(11-TRUNC(MOD(G27,4)*3))+TRUNC(MOD(H27,6)*2)+1,0,-1),CHAR(45),CHAR(65+(SIGN(MOD(H27-I27-10,1/2)-1/4)+1)/2-SIGN(MOD(G27+I27-10,1/3)-1/6)+1),CHAR(97+(SIGN(MOD(H27-I27-10,1/4)-1/8)+1)/2-SIGN(MOD(G27+I27-10,1/6)-1/12)+1))</f>
        <v>L-35-49-Bd</v>
      </c>
      <c r="F27" s="4" t="s">
        <v>19</v>
      </c>
      <c r="G27" s="32">
        <f>'Bursa-Wolf'!AI16</f>
        <v>46.553180073009436</v>
      </c>
      <c r="H27" s="33">
        <f>'Bursa-Wolf'!AJ16</f>
        <v>24.389471479419246</v>
      </c>
      <c r="I27" s="14">
        <f>TRUNC(G27)</f>
        <v>46</v>
      </c>
      <c r="J27" s="14">
        <f>TRUNC((G27-I27)*60)</f>
        <v>33</v>
      </c>
      <c r="K27" s="18">
        <f>3600*(G27-I27-J27/60)</f>
        <v>11.448262833969647</v>
      </c>
      <c r="L27" s="14">
        <f>TRUNC(H27)</f>
        <v>24</v>
      </c>
      <c r="M27" s="14">
        <f>TRUNC((H27-L27)*60)</f>
        <v>23</v>
      </c>
      <c r="N27" s="19">
        <f>3600*(H27-L27-M27/60)</f>
        <v>22.097325909285438</v>
      </c>
    </row>
    <row r="28" ht="12.75">
      <c r="A28" t="s">
        <v>132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"/>
  <sheetViews>
    <sheetView workbookViewId="0" topLeftCell="R1">
      <selection activeCell="X33" sqref="X33"/>
    </sheetView>
  </sheetViews>
  <sheetFormatPr defaultColWidth="9.140625" defaultRowHeight="12.75"/>
  <sheetData>
    <row r="1" spans="1:28" ht="12.75">
      <c r="A1" t="s">
        <v>29</v>
      </c>
      <c r="B1" t="s">
        <v>30</v>
      </c>
      <c r="C1" t="s">
        <v>28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26</v>
      </c>
      <c r="J1" t="s">
        <v>36</v>
      </c>
      <c r="K1" t="s">
        <v>37</v>
      </c>
      <c r="L1" t="s">
        <v>24</v>
      </c>
      <c r="M1" t="s">
        <v>25</v>
      </c>
      <c r="N1" t="s">
        <v>8</v>
      </c>
      <c r="O1" t="s">
        <v>38</v>
      </c>
      <c r="P1" t="s">
        <v>6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27</v>
      </c>
      <c r="AB1" t="s">
        <v>49</v>
      </c>
    </row>
    <row r="2" spans="1:28" ht="12.75">
      <c r="A2" s="8">
        <f>Main!C12</f>
        <v>5299806</v>
      </c>
      <c r="B2" s="8">
        <f>Main!D12</f>
        <v>5160980</v>
      </c>
      <c r="C2">
        <f>6378245</f>
        <v>6378245</v>
      </c>
      <c r="D2">
        <f>0.0818133340169312</f>
        <v>0.0818133340169312</v>
      </c>
      <c r="E2">
        <f>500000+TRUNC(A2/1000000)*1000000</f>
        <v>5500000</v>
      </c>
      <c r="F2">
        <v>0</v>
      </c>
      <c r="G2">
        <f>21+6*(TRUNC(A2/1000000)-4)</f>
        <v>27</v>
      </c>
      <c r="H2">
        <f>G2*PI()/180</f>
        <v>0.47123889803846897</v>
      </c>
      <c r="I2">
        <v>0</v>
      </c>
      <c r="J2">
        <f>I2*PI()/180</f>
        <v>0</v>
      </c>
      <c r="K2">
        <f>1</f>
        <v>1</v>
      </c>
      <c r="L2">
        <f>A2-E2</f>
        <v>-200194</v>
      </c>
      <c r="M2">
        <f>B2-F2</f>
        <v>5160980</v>
      </c>
      <c r="N2">
        <f>(1-SQRT(1-D2*D2))/(1+SQRT(1-D2*D2))</f>
        <v>0.0016789791806581683</v>
      </c>
      <c r="O2">
        <f>C2*(J2*(1-D2*D2/4-3*POWER(D2,4)/64-5*POWER(D2,6)/256)-SIN(2*J2)*(3*D2*D2/8+3*POWER(D2,4)/32+45*POWER(D2,6)/1024)+SIN(4*J2)*(15*POWER(D2,4)/256+45*POWER(D2,6)/1024)-SIN(6*J2)*35*POWER(D2,6)/3072)</f>
        <v>0</v>
      </c>
      <c r="P2">
        <f>O2+M2/K2</f>
        <v>5160980</v>
      </c>
      <c r="Q2">
        <f>P2/(C2*(1-D2*D2/4-3*POWER(D2,4)/64-5*POWER(D2,6)/256))</f>
        <v>0.8105115959942202</v>
      </c>
      <c r="R2">
        <f>Q2+SIN(2*Q2)*(3*N2/2-27*POWER(N2,3)/32)+SIN(4*Q2)*(21*N2*N2/16-55*POWER(N2,4)/32)+SIN(6*Q2)*151*POWER(N2,3)/96+SIN(8*Q2)*1097*POWER(N2,4)/512</f>
        <v>0.8130265063267113</v>
      </c>
      <c r="S2">
        <f>D2*D2/(1-D2*D2)</f>
        <v>0.006738525414683499</v>
      </c>
      <c r="T2">
        <f>S2*COS(R2)*COS(R2)</f>
        <v>0.0031831831429198405</v>
      </c>
      <c r="U2">
        <f>TAN(R2)*TAN(R2)</f>
        <v>1.1169141428986233</v>
      </c>
      <c r="V2">
        <f>C2/SQRT(1-D2*D2*SIN(R2)*SIN(R2))</f>
        <v>6389537.447852462</v>
      </c>
      <c r="W2">
        <f>C2*(1-D2*D2)/POWER(1-D2*D2*SIN(R2)*SIN(R2),1.5)</f>
        <v>6369262.917500649</v>
      </c>
      <c r="X2">
        <f>L2/(V2*K2)</f>
        <v>-0.0313315324675475</v>
      </c>
      <c r="Y2">
        <f>R2-(V2*TAN(R2)/W2)*(X2*X2/2-(5+3*U2+10*T2-4*T2*T2-9*S2)*POWER(X2,4)/24+(61+90*U2+298*T2+45*U2*U2-252*S2-3*T2*T2)*POWER(X2,6)/720)</f>
        <v>0.812506476909062</v>
      </c>
      <c r="Z2">
        <f>H2+(X2-(1+2*U2+T2)*POWER(X2,3)/6+(5-2*T2+28*U2-3*T2*T2+8*S2+24*U2*U2)*POWER(X2,5)/120)/COS(R2)</f>
        <v>0.42567683054337496</v>
      </c>
      <c r="AA2" s="9">
        <f>Y2*180/PI()</f>
        <v>46.55319195393293</v>
      </c>
      <c r="AB2" s="9">
        <f>Z2*180/PI()</f>
        <v>24.38948582664092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"/>
  <sheetViews>
    <sheetView workbookViewId="0" topLeftCell="J1">
      <selection activeCell="C4" sqref="C4"/>
    </sheetView>
  </sheetViews>
  <sheetFormatPr defaultColWidth="9.140625" defaultRowHeight="12.75"/>
  <sheetData>
    <row r="1" spans="1:24" ht="12.75">
      <c r="A1" t="s">
        <v>27</v>
      </c>
      <c r="B1" t="s">
        <v>49</v>
      </c>
      <c r="C1" t="s">
        <v>28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26</v>
      </c>
      <c r="J1" t="s">
        <v>36</v>
      </c>
      <c r="K1" t="s">
        <v>37</v>
      </c>
      <c r="L1" t="s">
        <v>47</v>
      </c>
      <c r="M1" t="s">
        <v>48</v>
      </c>
      <c r="N1" t="s">
        <v>41</v>
      </c>
      <c r="O1" t="s">
        <v>7</v>
      </c>
      <c r="P1" t="s">
        <v>50</v>
      </c>
      <c r="Q1" t="s">
        <v>51</v>
      </c>
      <c r="R1" t="s">
        <v>52</v>
      </c>
      <c r="S1" t="s">
        <v>6</v>
      </c>
      <c r="T1" t="s">
        <v>38</v>
      </c>
      <c r="U1" t="s">
        <v>24</v>
      </c>
      <c r="V1" t="s">
        <v>25</v>
      </c>
      <c r="W1" t="s">
        <v>29</v>
      </c>
      <c r="X1" t="s">
        <v>30</v>
      </c>
    </row>
    <row r="2" spans="1:24" ht="12.75">
      <c r="A2" s="8">
        <f>Main!G7</f>
        <v>45.999999999999986</v>
      </c>
      <c r="B2" s="8">
        <f>Main!H7</f>
        <v>25.000000000000004</v>
      </c>
      <c r="C2">
        <f>6378245</f>
        <v>6378245</v>
      </c>
      <c r="D2">
        <f>0.0818133340169312</f>
        <v>0.0818133340169312</v>
      </c>
      <c r="E2">
        <f>1500000+((TRUNC(B2/6)*1000000))</f>
        <v>5500000</v>
      </c>
      <c r="F2">
        <v>0</v>
      </c>
      <c r="G2">
        <f>6*(0.5+TRUNC(B2/6))</f>
        <v>27</v>
      </c>
      <c r="H2">
        <f>G2*PI()/180</f>
        <v>0.47123889803846897</v>
      </c>
      <c r="I2">
        <v>0</v>
      </c>
      <c r="J2">
        <f>I2*PI()/180</f>
        <v>0</v>
      </c>
      <c r="K2">
        <f>1</f>
        <v>1</v>
      </c>
      <c r="L2">
        <f aca="true" t="shared" si="0" ref="L2:M4">A2*PI()/180</f>
        <v>0.8028514559173914</v>
      </c>
      <c r="M2">
        <f t="shared" si="0"/>
        <v>0.4363323129985825</v>
      </c>
      <c r="N2">
        <f>D2*D2/(1-D2*D2)</f>
        <v>0.006738525414683499</v>
      </c>
      <c r="O2">
        <f>C2/SQRT(1-D2*D2*SIN(L2)*SIN(L2))</f>
        <v>6389319.330900989</v>
      </c>
      <c r="P2">
        <f>TAN(L2)*TAN(L2)</f>
        <v>1.0723230307791942</v>
      </c>
      <c r="Q2">
        <f>N2*COS(L2)*COS(L2)</f>
        <v>0.0032516771345970186</v>
      </c>
      <c r="R2">
        <f>(M2-H2)*COS(L2)</f>
        <v>-0.024248151482095956</v>
      </c>
      <c r="S2">
        <f>C2*(L2*(1-D2*D2/4-3*POWER(D2,4)/64-5*POWER(D2,6)/256)-SIN(2*L2)*(3*D2*D2/8+3*POWER(D2,4)/32+45*POWER(D2,6)/1024)+SIN(4*L2)*(15*POWER(D2,4)/256+45*POWER(D2,6)/1024)-SIN(6*L2)*35*POWER(D2,6)/3072)</f>
        <v>5096175.746850546</v>
      </c>
      <c r="T2">
        <f>C2*J2*((1-D2*D2/4-3*POWER(D2,4)/64-5*POWER(D2,6)/256)-SIN(2*J2)*(3*D2*D2/8+3*POWER(D2,4)/32+45*POWER(D2,6)/1024)+SIN(4*J2)*(15*POWER(D2,4)/256+45*POWER(D2,6)/1024)-SIN(6*J2)*35*POWER(D2,6)/3072)</f>
        <v>0</v>
      </c>
      <c r="U2">
        <f>K2*O2*(R2+(1-P2+Q2)*POWER(R2,3)/6+(5-18*P2+P2*P2+72*Q2-85*N2)*POWER(R2,5)/120)</f>
        <v>-154928.12831569056</v>
      </c>
      <c r="V2">
        <f>K2*(S2-T2+O2*TAN(L2)*(R2*R2/2+(5-P2+9*Q2+4*Q2*Q2)*POWER(R2,4)/24+(61-58*P2+P2*P2+600*Q2-330*N2)*POWER(R2,6)/720))</f>
        <v>5098121.236311352</v>
      </c>
      <c r="W2" s="9">
        <f aca="true" t="shared" si="1" ref="W2:X4">U2+E2</f>
        <v>5345071.871684309</v>
      </c>
      <c r="X2" s="9">
        <f t="shared" si="1"/>
        <v>5098121.236311352</v>
      </c>
    </row>
    <row r="3" spans="1:24" ht="12.75">
      <c r="A3" s="8">
        <f>Main!G21</f>
        <v>45.99999173296576</v>
      </c>
      <c r="B3" s="8">
        <f>Main!H21</f>
        <v>24.999983434303783</v>
      </c>
      <c r="C3">
        <f>6378245</f>
        <v>6378245</v>
      </c>
      <c r="D3">
        <f>0.0818133340169312</f>
        <v>0.0818133340169312</v>
      </c>
      <c r="E3">
        <f>1500000+((TRUNC(B3/6)*1000000))</f>
        <v>5500000</v>
      </c>
      <c r="F3">
        <v>0</v>
      </c>
      <c r="G3">
        <f>6*(0.5+TRUNC(B3/6))</f>
        <v>27</v>
      </c>
      <c r="H3">
        <f>G3*PI()/180</f>
        <v>0.47123889803846897</v>
      </c>
      <c r="I3">
        <v>0</v>
      </c>
      <c r="J3">
        <f>I3*PI()/180</f>
        <v>0</v>
      </c>
      <c r="K3">
        <f>1</f>
        <v>1</v>
      </c>
      <c r="L3">
        <f t="shared" si="0"/>
        <v>0.8028513116304248</v>
      </c>
      <c r="M3">
        <f t="shared" si="0"/>
        <v>0.43633202387264053</v>
      </c>
      <c r="N3">
        <f>D3*D3/(1-D3*D3)</f>
        <v>0.006738525414683499</v>
      </c>
      <c r="O3">
        <f>C3/SQRT(1-D3*D3*SIN(L3)*SIN(L3))</f>
        <v>6389319.327806835</v>
      </c>
      <c r="P3">
        <f>TAN(L3)*TAN(L3)</f>
        <v>1.0723224115131866</v>
      </c>
      <c r="Q3">
        <f>N3*COS(L3)*COS(L3)</f>
        <v>0.003251678106286127</v>
      </c>
      <c r="R3">
        <f>(M3-H3)*COS(L3)</f>
        <v>-0.024248355948883273</v>
      </c>
      <c r="S3">
        <f>C3*(L3*(1-D3*D3/4-3*POWER(D3,4)/64-5*POWER(D3,6)/256)-SIN(2*L3)*(3*D3*D3/8+3*POWER(D3,4)/32+45*POWER(D3,6)/1024)+SIN(4*L3)*(15*POWER(D3,4)/256+45*POWER(D3,6)/1024)-SIN(6*L3)*35*POWER(D3,6)/3072)</f>
        <v>5096174.827943033</v>
      </c>
      <c r="T3">
        <f>C3*J3*((1-D3*D3/4-3*POWER(D3,4)/64-5*POWER(D3,6)/256)-SIN(2*J3)*(3*D3*D3/8+3*POWER(D3,4)/32+45*POWER(D3,6)/1024)+SIN(4*J3)*(15*POWER(D3,4)/256+45*POWER(D3,6)/1024)-SIN(6*J3)*35*POWER(D3,6)/3072)</f>
        <v>0</v>
      </c>
      <c r="U3">
        <f>K3*O3*(R3+(1-P3+Q3)*POWER(R3,3)/6+(5-18*P3+P3*P3+72*Q3-85*N3)*POWER(R3,5)/120)</f>
        <v>-154929.434626899</v>
      </c>
      <c r="V3">
        <f>K3*(S3-T3+O3*TAN(L3)*(R3*R3/2+(5-P3+9*Q3+4*Q3*Q3)*POWER(R3,4)/24+(61-58*P3+P3*P3+600*Q3-330*N3)*POWER(R3,6)/720))</f>
        <v>5098120.349657442</v>
      </c>
      <c r="W3" s="9">
        <f t="shared" si="1"/>
        <v>5345070.565373101</v>
      </c>
      <c r="X3" s="9">
        <f t="shared" si="1"/>
        <v>5098120.349657442</v>
      </c>
    </row>
    <row r="4" spans="1:24" ht="12.75">
      <c r="A4" s="8">
        <f>Main!G27</f>
        <v>46.553180073009436</v>
      </c>
      <c r="B4" s="8">
        <f>Main!H27</f>
        <v>24.389471479419246</v>
      </c>
      <c r="C4">
        <f>6378245</f>
        <v>6378245</v>
      </c>
      <c r="D4">
        <f>0.0818133340169312</f>
        <v>0.0818133340169312</v>
      </c>
      <c r="E4">
        <f>1500000+((TRUNC(B4/6)*1000000))</f>
        <v>5500000</v>
      </c>
      <c r="F4">
        <v>0</v>
      </c>
      <c r="G4">
        <f>6*(0.5+TRUNC(B4/6))</f>
        <v>27</v>
      </c>
      <c r="H4">
        <f>G4*PI()/180</f>
        <v>0.47123889803846897</v>
      </c>
      <c r="I4">
        <v>0</v>
      </c>
      <c r="J4">
        <f>I4*PI()/180</f>
        <v>0</v>
      </c>
      <c r="K4">
        <f>1</f>
        <v>1</v>
      </c>
      <c r="L4">
        <f t="shared" si="0"/>
        <v>0.8125062695478289</v>
      </c>
      <c r="M4">
        <f t="shared" si="0"/>
        <v>0.42567658013711823</v>
      </c>
      <c r="N4">
        <f>D4*D4/(1-D4*D4)</f>
        <v>0.006738525414683499</v>
      </c>
      <c r="O4">
        <f>C4/SQRT(1-D4*D4*SIN(L4)*SIN(L4))</f>
        <v>6389526.300466658</v>
      </c>
      <c r="P4">
        <f>TAN(L4)*TAN(L4)</f>
        <v>1.1145888412606282</v>
      </c>
      <c r="Q4">
        <f>N4*COS(L4)*COS(L4)</f>
        <v>0.003186683521259044</v>
      </c>
      <c r="R4">
        <f>(M4-H4)*COS(L4)</f>
        <v>-0.03133234081334623</v>
      </c>
      <c r="S4">
        <f>C4*(L4*(1-D4*D4/4-3*POWER(D4,4)/64-5*POWER(D4,6)/256)-SIN(2*L4)*(3*D4*D4/8+3*POWER(D4,4)/32+45*POWER(D4,6)/1024)+SIN(4*L4)*(15*POWER(D4,4)/256+45*POWER(D4,6)/1024)-SIN(6*L4)*35*POWER(D4,6)/3072)</f>
        <v>5157666.4840328805</v>
      </c>
      <c r="T4">
        <f>C4*J4*((1-D4*D4/4-3*POWER(D4,4)/64-5*POWER(D4,6)/256)-SIN(2*J4)*(3*D4*D4/8+3*POWER(D4,4)/32+45*POWER(D4,6)/1024)+SIN(4*J4)*(15*POWER(D4,4)/256+45*POWER(D4,6)/1024)-SIN(6*J4)*35*POWER(D4,6)/3072)</f>
        <v>0</v>
      </c>
      <c r="U4">
        <f>K4*O4*(R4+(1-P4+Q4)*POWER(R4,3)/6+(5-18*P4+P4*P4+72*Q4-85*N4)*POWER(R4,5)/120)</f>
        <v>-200195.14377703727</v>
      </c>
      <c r="V4">
        <f>K4*(S4-T4+O4*TAN(L4)*(R4*R4/2+(5-P4+9*Q4+4*Q4*Q4)*POWER(R4,4)/24+(61-58*P4+P4*P4+600*Q4-330*N4)*POWER(R4,6)/720))</f>
        <v>5160978.7159457775</v>
      </c>
      <c r="W4" s="9">
        <f t="shared" si="1"/>
        <v>5299804.856222963</v>
      </c>
      <c r="X4" s="9">
        <f t="shared" si="1"/>
        <v>5160978.7159457775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"/>
  <sheetViews>
    <sheetView workbookViewId="0" topLeftCell="S1">
      <selection activeCell="AB2" sqref="AB2"/>
    </sheetView>
  </sheetViews>
  <sheetFormatPr defaultColWidth="9.140625" defaultRowHeight="12.75"/>
  <sheetData>
    <row r="1" spans="1:29" ht="12.75">
      <c r="A1" t="s">
        <v>29</v>
      </c>
      <c r="B1" t="s">
        <v>30</v>
      </c>
      <c r="C1" t="s">
        <v>53</v>
      </c>
      <c r="D1" t="s">
        <v>28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26</v>
      </c>
      <c r="K1" t="s">
        <v>36</v>
      </c>
      <c r="L1" t="s">
        <v>37</v>
      </c>
      <c r="M1" t="s">
        <v>24</v>
      </c>
      <c r="N1" t="s">
        <v>25</v>
      </c>
      <c r="O1" t="s">
        <v>8</v>
      </c>
      <c r="P1" t="s">
        <v>38</v>
      </c>
      <c r="Q1" t="s">
        <v>6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  <c r="AB1" t="s">
        <v>27</v>
      </c>
      <c r="AC1" t="s">
        <v>49</v>
      </c>
    </row>
    <row r="2" spans="1:29" ht="12.75">
      <c r="A2" s="8">
        <f>Main!C18</f>
        <v>345014</v>
      </c>
      <c r="B2" s="8">
        <f>Main!D18</f>
        <v>5095963</v>
      </c>
      <c r="C2" s="8">
        <f>Main!E18</f>
        <v>35</v>
      </c>
      <c r="D2">
        <f>6378137</f>
        <v>6378137</v>
      </c>
      <c r="E2">
        <v>0.08181919084693119</v>
      </c>
      <c r="F2">
        <f>500000</f>
        <v>500000</v>
      </c>
      <c r="G2">
        <v>0</v>
      </c>
      <c r="H2">
        <f>21+6*(C2-34)</f>
        <v>27</v>
      </c>
      <c r="I2">
        <f>H2*PI()/180</f>
        <v>0.47123889803846897</v>
      </c>
      <c r="J2">
        <v>0</v>
      </c>
      <c r="K2">
        <f>J2*PI()/180</f>
        <v>0</v>
      </c>
      <c r="L2">
        <v>0.9996</v>
      </c>
      <c r="M2">
        <f>A2-F2</f>
        <v>-154986</v>
      </c>
      <c r="N2">
        <f>B2-G2</f>
        <v>5095963</v>
      </c>
      <c r="O2">
        <f>(1-SQRT(1-E2*E2))/(1+SQRT(1-E2*E2))</f>
        <v>0.0016792203865612046</v>
      </c>
      <c r="P2">
        <f>D2*(K2*(1-E2*E2/4-3*POWER(E2,4)/64-5*POWER(E2,6)/256)-SIN(2*K2)*(3*E2*E2/8+3*POWER(E2,4)/32+45*POWER(E2,6)/1024)+SIN(4*K2)*(15*POWER(E2,4)/256+45*POWER(E2,6)/1024)-SIN(6*K2)*35*POWER(E2,6)/3072)</f>
        <v>0</v>
      </c>
      <c r="Q2">
        <f>P2+N2/L2</f>
        <v>5098002.2008803515</v>
      </c>
      <c r="R2">
        <f>Q2/(D2*(1-E2*E2/4-3*POWER(E2,4)/64-5*POWER(E2,6)/256))</f>
        <v>0.8006349299413198</v>
      </c>
      <c r="S2">
        <f>R2+SIN(2*R2)*(3*O2/2-27*POWER(O2,3)/32)+SIN(4*R2)*(21*O2*O2/16-55*POWER(O2,4)/32)+SIN(6*R2)*151*POWER(O2,3)/96+SIN(8*R2)*1097*POWER(O2,4)/512</f>
        <v>0.8031523542426734</v>
      </c>
      <c r="T2">
        <f>E2*E2/(1-E2*E2)</f>
        <v>0.006739496742991205</v>
      </c>
      <c r="U2">
        <f>T2*COS(S2)*COS(S2)</f>
        <v>0.0032501192027947607</v>
      </c>
      <c r="V2">
        <f>TAN(S2)*TAN(S2)</f>
        <v>1.0736152499255864</v>
      </c>
      <c r="W2">
        <f>D2/SQRT(1-E2*E2*SIN(S2)*SIN(S2))</f>
        <v>6389219.186479281</v>
      </c>
      <c r="X2">
        <f>D2*(1-E2*E2)/POWER(1-E2*E2*SIN(S2)*SIN(S2),1.5)</f>
        <v>6368520.734945239</v>
      </c>
      <c r="Y2">
        <f>M2/(W2*L2)</f>
        <v>-0.024267131034695466</v>
      </c>
      <c r="Z2">
        <f>S2-(W2*TAN(S2)/X2)*(Y2*Y2/2-(5+3*V2+10*U2-4*U2*U2-9*T2)*POWER(Y2,4)/24+(61+90*V2+298*U2+45*V2*V2-252*T2-3*U2*U2)*POWER(Y2,6)/720)</f>
        <v>0.8028463933813988</v>
      </c>
      <c r="AA2">
        <f>I2+(Y2-(1+2*V2+U2)*POWER(Y2,3)/6+(5-2*U2+28*V2-3*U2*U2+8*T2+24*V2*V2)*POWER(Y2,5)/120)/COS(S2)</f>
        <v>0.4363049000144367</v>
      </c>
      <c r="AB2" s="9">
        <f>Z2*180/PI()</f>
        <v>45.99970993805399</v>
      </c>
      <c r="AC2" s="9">
        <f>AA2*180/PI()</f>
        <v>24.998429351704594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"/>
  <sheetViews>
    <sheetView workbookViewId="0" topLeftCell="K1">
      <selection activeCell="B4" sqref="B4"/>
    </sheetView>
  </sheetViews>
  <sheetFormatPr defaultColWidth="9.140625" defaultRowHeight="12.75"/>
  <sheetData>
    <row r="1" spans="1:25" ht="12.75">
      <c r="A1" t="s">
        <v>27</v>
      </c>
      <c r="B1" t="s">
        <v>49</v>
      </c>
      <c r="C1" t="s">
        <v>28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26</v>
      </c>
      <c r="J1" t="s">
        <v>36</v>
      </c>
      <c r="K1" t="s">
        <v>37</v>
      </c>
      <c r="L1" t="s">
        <v>47</v>
      </c>
      <c r="M1" t="s">
        <v>48</v>
      </c>
      <c r="N1" t="s">
        <v>41</v>
      </c>
      <c r="O1" t="s">
        <v>7</v>
      </c>
      <c r="P1" t="s">
        <v>50</v>
      </c>
      <c r="Q1" t="s">
        <v>51</v>
      </c>
      <c r="R1" t="s">
        <v>52</v>
      </c>
      <c r="S1" t="s">
        <v>6</v>
      </c>
      <c r="T1" t="s">
        <v>38</v>
      </c>
      <c r="U1" t="s">
        <v>24</v>
      </c>
      <c r="V1" t="s">
        <v>25</v>
      </c>
      <c r="W1" t="s">
        <v>29</v>
      </c>
      <c r="X1" t="s">
        <v>30</v>
      </c>
      <c r="Y1" t="s">
        <v>53</v>
      </c>
    </row>
    <row r="2" spans="1:25" ht="12.75">
      <c r="A2" s="8">
        <f>Main!G9</f>
        <v>45.99971820686065</v>
      </c>
      <c r="B2" s="8">
        <f>Main!H9</f>
        <v>24.998445939895596</v>
      </c>
      <c r="C2">
        <f>6378137</f>
        <v>6378137</v>
      </c>
      <c r="D2">
        <v>0.08181919084693119</v>
      </c>
      <c r="E2">
        <f>500000</f>
        <v>500000</v>
      </c>
      <c r="F2">
        <v>0</v>
      </c>
      <c r="G2">
        <f>21+6*(TRUNC(B2/6)-3)</f>
        <v>27</v>
      </c>
      <c r="H2">
        <f>G2*PI()/180</f>
        <v>0.47123889803846897</v>
      </c>
      <c r="I2">
        <v>0</v>
      </c>
      <c r="J2">
        <f>I2*PI()/180</f>
        <v>0</v>
      </c>
      <c r="K2">
        <v>0.9996</v>
      </c>
      <c r="L2">
        <f aca="true" t="shared" si="0" ref="L2:M4">A2*PI()/180</f>
        <v>0.8028465376993004</v>
      </c>
      <c r="M2">
        <f t="shared" si="0"/>
        <v>0.4363051895329867</v>
      </c>
      <c r="N2">
        <f>D2*D2/(1-D2*D2)</f>
        <v>0.006739496742991205</v>
      </c>
      <c r="O2">
        <f>C2/SQRT(1-D2*D2*SIN(L2)*SIN(L2))</f>
        <v>6389212.6276369635</v>
      </c>
      <c r="P2">
        <f>TAN(L2)*TAN(L2)</f>
        <v>1.072301922457712</v>
      </c>
      <c r="Q2">
        <f>N2*COS(L2)*COS(L2)</f>
        <v>0.0032521789754449905</v>
      </c>
      <c r="R2">
        <f>(M2-H2)*COS(L2)</f>
        <v>-0.024267116615134438</v>
      </c>
      <c r="S2">
        <f>C2*(L2*(1-D2*D2/4-3*POWER(D2,4)/64-5*POWER(D2,6)/256)-SIN(2*L2)*(3*D2*D2/8+3*POWER(D2,4)/32+45*POWER(D2,6)/1024)+SIN(4*L2)*(15*POWER(D2,4)/256+45*POWER(D2,6)/1024)-SIN(6*L2)*35*POWER(D2,6)/3072)</f>
        <v>5096054.605052927</v>
      </c>
      <c r="T2">
        <f>C2*J2*((1-D2*D2/4-3*POWER(D2,4)/64-5*POWER(D2,6)/256)-SIN(2*J2)*(3*D2*D2/8+3*POWER(D2,4)/32+45*POWER(D2,6)/1024)+SIN(4*J2)*(15*POWER(D2,4)/256+45*POWER(D2,6)/1024)-SIN(6*J2)*35*POWER(D2,6)/3072)</f>
        <v>0</v>
      </c>
      <c r="U2">
        <f>K2*O2*(R2+(1-P2+Q2)*POWER(R2,3)/6+(5-18*P2+P2*P2+72*Q2-85*N2)*POWER(R2,5)/120)</f>
        <v>-154984.69240240342</v>
      </c>
      <c r="V2">
        <f>K2*(S2-T2+O2*TAN(L2)*(R2*R2/2+(5-P2+9*Q2+4*Q2*Q2)*POWER(R2,4)/24+(61-58*P2+P2*P2+600*Q2-330*N2)*POWER(R2,6)/720))</f>
        <v>5095963.886582827</v>
      </c>
      <c r="W2" s="9">
        <f aca="true" t="shared" si="1" ref="W2:X4">U2+E2</f>
        <v>345015.30759759655</v>
      </c>
      <c r="X2" s="9">
        <f t="shared" si="1"/>
        <v>5095963.886582827</v>
      </c>
      <c r="Y2" s="9">
        <f>TRUNC(B2/6)+31</f>
        <v>35</v>
      </c>
    </row>
    <row r="3" spans="1:25" ht="12.75">
      <c r="A3" s="8">
        <f>Main!G15</f>
        <v>46.55291062198931</v>
      </c>
      <c r="B3" s="8">
        <f>Main!H15</f>
        <v>24.387908112080993</v>
      </c>
      <c r="C3">
        <f>6378137</f>
        <v>6378137</v>
      </c>
      <c r="D3">
        <v>0.08181919084693119</v>
      </c>
      <c r="E3">
        <f>500000</f>
        <v>500000</v>
      </c>
      <c r="F3">
        <v>0</v>
      </c>
      <c r="G3">
        <f>21+6*(TRUNC(B3/6)-3)</f>
        <v>27</v>
      </c>
      <c r="H3">
        <f>G3*PI()/180</f>
        <v>0.47123889803846897</v>
      </c>
      <c r="I3">
        <v>0</v>
      </c>
      <c r="J3">
        <f>I3*PI()/180</f>
        <v>0</v>
      </c>
      <c r="K3">
        <v>0.9996</v>
      </c>
      <c r="L3">
        <f t="shared" si="0"/>
        <v>0.8125015667403548</v>
      </c>
      <c r="M3">
        <f t="shared" si="0"/>
        <v>0.4256492942296476</v>
      </c>
      <c r="N3">
        <f>D3*D3/(1-D3*D3)</f>
        <v>0.006739496742991205</v>
      </c>
      <c r="O3">
        <f>C3/SQRT(1-D3*D3*SIN(L3)*SIN(L3))</f>
        <v>6389419.628184538</v>
      </c>
      <c r="P3">
        <f>TAN(L3)*TAN(L3)</f>
        <v>1.1145678438241906</v>
      </c>
      <c r="Q3">
        <f>N3*COS(L3)*COS(L3)</f>
        <v>0.003187174515433301</v>
      </c>
      <c r="R3">
        <f>(M3-H3)*COS(L3)</f>
        <v>-0.031351260469968396</v>
      </c>
      <c r="S3">
        <f>C3*(L3*(1-D3*D3/4-3*POWER(D3,4)/64-5*POWER(D3,6)/256)-SIN(2*L3)*(3*D3*D3/8+3*POWER(D3,4)/32+45*POWER(D3,6)/1024)+SIN(4*L3)*(15*POWER(D3,4)/256+45*POWER(D3,6)/1024)-SIN(6*L3)*35*POWER(D3,6)/3072)</f>
        <v>5157545.656972796</v>
      </c>
      <c r="T3">
        <f>C3*J3*((1-D3*D3/4-3*POWER(D3,4)/64-5*POWER(D3,6)/256)-SIN(2*J3)*(3*D3*D3/8+3*POWER(D3,4)/32+45*POWER(D3,6)/1024)+SIN(4*J3)*(15*POWER(D3,4)/256+45*POWER(D3,6)/1024)-SIN(6*J3)*35*POWER(D3,6)/3072)</f>
        <v>0</v>
      </c>
      <c r="U3">
        <f>K3*O3*(R3+(1-P3+Q3)*POWER(R3,3)/6+(5-18*P3+P3*P3+72*Q3-85*N3)*POWER(R3,5)/120)</f>
        <v>-200232.55612137486</v>
      </c>
      <c r="V3">
        <f>K3*(S3-T3+O3*TAN(L3)*(R3*R3/2+(5-P3+9*Q3+4*Q3*Q3)*POWER(R3,4)/24+(61-58*P3+P3*P3+600*Q3-330*N3)*POWER(R3,6)/720))</f>
        <v>5158797.460162873</v>
      </c>
      <c r="W3" s="9">
        <f t="shared" si="1"/>
        <v>299767.44387862517</v>
      </c>
      <c r="X3" s="9">
        <f t="shared" si="1"/>
        <v>5158797.460162873</v>
      </c>
      <c r="Y3" s="9">
        <f>TRUNC(B3/6)+31</f>
        <v>35</v>
      </c>
    </row>
    <row r="4" spans="1:25" ht="12.75">
      <c r="A4" s="8">
        <f>Main!G26</f>
        <v>46.55289875942881</v>
      </c>
      <c r="B4" s="8">
        <f>Main!H26</f>
        <v>24.38789376124304</v>
      </c>
      <c r="C4">
        <f>6378137</f>
        <v>6378137</v>
      </c>
      <c r="D4">
        <v>0.08181919084693119</v>
      </c>
      <c r="E4">
        <f>500000</f>
        <v>500000</v>
      </c>
      <c r="F4">
        <v>0</v>
      </c>
      <c r="G4">
        <f>21+6*(TRUNC(B4/6)-3)</f>
        <v>27</v>
      </c>
      <c r="H4">
        <f>G4*PI()/180</f>
        <v>0.47123889803846897</v>
      </c>
      <c r="I4">
        <v>0</v>
      </c>
      <c r="J4">
        <f>I4*PI()/180</f>
        <v>0</v>
      </c>
      <c r="K4">
        <v>0.9996</v>
      </c>
      <c r="L4">
        <f t="shared" si="0"/>
        <v>0.8125013596996162</v>
      </c>
      <c r="M4">
        <f t="shared" si="0"/>
        <v>0.4256490437602749</v>
      </c>
      <c r="N4">
        <f>D4*D4/(1-D4*D4)</f>
        <v>0.006739496742991205</v>
      </c>
      <c r="O4">
        <f>C4/SQRT(1-D4*D4*SIN(L4)*SIN(L4))</f>
        <v>6389419.6237474885</v>
      </c>
      <c r="P4">
        <f>TAN(L4)*TAN(L4)</f>
        <v>1.1145669194229983</v>
      </c>
      <c r="Q4">
        <f>N4*COS(L4)*COS(L4)</f>
        <v>0.003187175908734168</v>
      </c>
      <c r="R4">
        <f>(M4-H4)*COS(L4)</f>
        <v>-0.03135143956662892</v>
      </c>
      <c r="S4">
        <f>C4*(L4*(1-D4*D4/4-3*POWER(D4,4)/64-5*POWER(D4,6)/256)-SIN(2*L4)*(3*D4*D4/8+3*POWER(D4,4)/32+45*POWER(D4,6)/1024)+SIN(4*L4)*(15*POWER(D4,4)/256+45*POWER(D4,6)/1024)-SIN(6*L4)*35*POWER(D4,6)/3072)</f>
        <v>5157544.338305461</v>
      </c>
      <c r="T4">
        <f>C4*J4*((1-D4*D4/4-3*POWER(D4,4)/64-5*POWER(D4,6)/256)-SIN(2*J4)*(3*D4*D4/8+3*POWER(D4,4)/32+45*POWER(D4,6)/1024)+SIN(4*J4)*(15*POWER(D4,4)/256+45*POWER(D4,6)/1024)-SIN(6*J4)*35*POWER(D4,6)/3072)</f>
        <v>0</v>
      </c>
      <c r="U4">
        <f>K4*O4*(R4+(1-P4+Q4)*POWER(R4,3)/6+(5-18*P4+P4*P4+72*Q4-85*N4)*POWER(R4,5)/120)</f>
        <v>-200233.69981544037</v>
      </c>
      <c r="V4">
        <f>K4*(S4-T4+O4*TAN(L4)*(R4*R4/2+(5-P4+9*Q4+4*Q4*Q4)*POWER(R4,4)/24+(61-58*P4+P4*P4+600*Q4-330*N4)*POWER(R4,6)/720))</f>
        <v>5158796.178530945</v>
      </c>
      <c r="W4" s="9">
        <f t="shared" si="1"/>
        <v>299766.30018455966</v>
      </c>
      <c r="X4" s="9">
        <f t="shared" si="1"/>
        <v>5158796.178530945</v>
      </c>
      <c r="Y4" s="9">
        <f>TRUNC(B4/6)+31</f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32" sqref="C32:C33"/>
    </sheetView>
  </sheetViews>
  <sheetFormatPr defaultColWidth="9.140625" defaultRowHeight="12.75"/>
  <cols>
    <col min="10" max="10" width="12.00390625" style="0" bestFit="1" customWidth="1"/>
  </cols>
  <sheetData>
    <row r="1" ht="12.75">
      <c r="A1" s="7" t="s">
        <v>60</v>
      </c>
    </row>
    <row r="2" ht="12.75">
      <c r="A2" s="34" t="s">
        <v>127</v>
      </c>
    </row>
    <row r="4" ht="12.75">
      <c r="A4" s="7" t="s">
        <v>72</v>
      </c>
    </row>
    <row r="5" spans="1:10" ht="12.75">
      <c r="A5" s="41" t="s">
        <v>85</v>
      </c>
      <c r="B5" s="41"/>
      <c r="C5" s="41"/>
      <c r="D5" s="41" t="s">
        <v>3</v>
      </c>
      <c r="E5" s="41" t="s">
        <v>5</v>
      </c>
      <c r="F5" s="41" t="s">
        <v>4</v>
      </c>
      <c r="G5" s="41" t="s">
        <v>81</v>
      </c>
      <c r="H5" s="41" t="s">
        <v>82</v>
      </c>
      <c r="I5" s="41" t="s">
        <v>83</v>
      </c>
      <c r="J5" s="41" t="s">
        <v>84</v>
      </c>
    </row>
    <row r="6" spans="1:10" ht="12.75">
      <c r="A6" s="5" t="s">
        <v>77</v>
      </c>
      <c r="B6" s="5"/>
      <c r="C6" s="5"/>
      <c r="D6" s="40">
        <v>2.3287</v>
      </c>
      <c r="E6" s="40">
        <v>-147.0425</v>
      </c>
      <c r="F6" s="40">
        <v>-92.0802</v>
      </c>
      <c r="G6" s="40">
        <v>0.3092483</v>
      </c>
      <c r="H6" s="40">
        <v>-0.32482185</v>
      </c>
      <c r="I6" s="40">
        <v>-0.49729934</v>
      </c>
      <c r="J6" s="40">
        <v>5.68906266E-06</v>
      </c>
    </row>
    <row r="7" spans="1:10" ht="12.75">
      <c r="A7" s="5" t="s">
        <v>77</v>
      </c>
      <c r="B7" s="5"/>
      <c r="C7" s="5"/>
      <c r="D7" s="40">
        <v>2.3287</v>
      </c>
      <c r="E7" s="40">
        <v>-147.0425</v>
      </c>
      <c r="F7" s="40">
        <v>-92.0802</v>
      </c>
      <c r="G7" s="40">
        <v>0.3092483</v>
      </c>
      <c r="H7" s="40">
        <v>-0.32482185</v>
      </c>
      <c r="I7" s="40">
        <v>-0.49729934</v>
      </c>
      <c r="J7" s="40">
        <v>5.68906266E-06</v>
      </c>
    </row>
    <row r="8" spans="1:10" ht="12.75">
      <c r="A8" s="5" t="s">
        <v>116</v>
      </c>
      <c r="B8" s="5"/>
      <c r="C8" s="5"/>
      <c r="D8" s="6">
        <v>642</v>
      </c>
      <c r="E8" s="6">
        <v>-142</v>
      </c>
      <c r="F8" s="6">
        <v>530</v>
      </c>
      <c r="G8" s="40">
        <v>0</v>
      </c>
      <c r="H8" s="40">
        <v>0</v>
      </c>
      <c r="I8" s="40">
        <v>0</v>
      </c>
      <c r="J8" s="40">
        <v>0</v>
      </c>
    </row>
    <row r="10" ht="12.75">
      <c r="A10" s="35" t="s">
        <v>124</v>
      </c>
    </row>
    <row r="13" ht="12.75">
      <c r="G13" s="42"/>
    </row>
    <row r="14" ht="12.75">
      <c r="G14" s="42"/>
    </row>
    <row r="15" ht="12.75">
      <c r="G15" s="42"/>
    </row>
    <row r="16" ht="12.75">
      <c r="F16" s="43"/>
    </row>
    <row r="19" spans="6:7" ht="12.75">
      <c r="F19" s="44"/>
      <c r="G19" s="4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7" t="s">
        <v>61</v>
      </c>
    </row>
    <row r="2" ht="12.75">
      <c r="A2" s="34" t="s">
        <v>127</v>
      </c>
    </row>
    <row r="4" spans="1:3" ht="12.75">
      <c r="A4" s="7" t="s">
        <v>62</v>
      </c>
      <c r="C4" t="s">
        <v>73</v>
      </c>
    </row>
    <row r="5" ht="12.75">
      <c r="C5" t="s">
        <v>119</v>
      </c>
    </row>
    <row r="6" ht="12.75">
      <c r="C6" t="s">
        <v>63</v>
      </c>
    </row>
    <row r="7" ht="12.75">
      <c r="C7" t="s">
        <v>64</v>
      </c>
    </row>
    <row r="8" ht="12.75">
      <c r="C8" t="s">
        <v>65</v>
      </c>
    </row>
    <row r="9" spans="1:3" ht="12.75">
      <c r="A9" s="7" t="s">
        <v>66</v>
      </c>
      <c r="C9" t="s">
        <v>120</v>
      </c>
    </row>
    <row r="10" ht="12.75">
      <c r="C10" t="s">
        <v>130</v>
      </c>
    </row>
    <row r="11" ht="12.75">
      <c r="C11" t="s">
        <v>131</v>
      </c>
    </row>
    <row r="12" ht="12.75">
      <c r="C12" t="s">
        <v>121</v>
      </c>
    </row>
    <row r="13" ht="12.75">
      <c r="C13" t="s">
        <v>67</v>
      </c>
    </row>
    <row r="14" ht="12.75">
      <c r="C14" t="s">
        <v>68</v>
      </c>
    </row>
    <row r="15" ht="12.75">
      <c r="C15" t="s">
        <v>69</v>
      </c>
    </row>
    <row r="16" spans="1:3" ht="12.75">
      <c r="A16" s="7" t="s">
        <v>71</v>
      </c>
      <c r="C16" t="s">
        <v>107</v>
      </c>
    </row>
    <row r="17" spans="1:3" ht="12.75">
      <c r="A17" s="7" t="s">
        <v>70</v>
      </c>
      <c r="C17" t="s">
        <v>108</v>
      </c>
    </row>
    <row r="18" ht="12.75">
      <c r="C18" t="s">
        <v>128</v>
      </c>
    </row>
    <row r="19" spans="1:3" ht="12.75">
      <c r="A19" s="7" t="s">
        <v>74</v>
      </c>
      <c r="C19" t="s">
        <v>133</v>
      </c>
    </row>
    <row r="20" ht="12.75">
      <c r="C20" s="7" t="s">
        <v>78</v>
      </c>
    </row>
    <row r="21" ht="12.75">
      <c r="C21" t="s">
        <v>122</v>
      </c>
    </row>
    <row r="22" ht="12.75">
      <c r="C22" t="s">
        <v>129</v>
      </c>
    </row>
    <row r="23" ht="12.75">
      <c r="C23" t="s">
        <v>123</v>
      </c>
    </row>
    <row r="24" ht="12.75">
      <c r="C24" t="s">
        <v>134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A1" sqref="A1"/>
    </sheetView>
  </sheetViews>
  <sheetFormatPr defaultColWidth="9.140625" defaultRowHeight="12.75"/>
  <cols>
    <col min="13" max="13" width="10.140625" style="0" bestFit="1" customWidth="1"/>
  </cols>
  <sheetData>
    <row r="1" spans="1:13" ht="12.75">
      <c r="A1" s="7" t="s">
        <v>79</v>
      </c>
      <c r="M1" t="s">
        <v>80</v>
      </c>
    </row>
    <row r="2" spans="1:13" ht="12.75">
      <c r="A2" s="55">
        <v>2</v>
      </c>
      <c r="B2" t="s">
        <v>126</v>
      </c>
      <c r="M2" t="s">
        <v>125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A2" sqref="A2"/>
    </sheetView>
  </sheetViews>
  <sheetFormatPr defaultColWidth="9.140625" defaultRowHeight="12.75"/>
  <cols>
    <col min="9" max="9" width="8.7109375" style="0" customWidth="1"/>
    <col min="10" max="10" width="8.421875" style="0" customWidth="1"/>
    <col min="11" max="11" width="9.28125" style="0" customWidth="1"/>
  </cols>
  <sheetData>
    <row r="1" spans="2:37" ht="12.75">
      <c r="B1" s="47" t="s">
        <v>88</v>
      </c>
      <c r="C1" s="47" t="s">
        <v>89</v>
      </c>
      <c r="D1" s="47" t="s">
        <v>90</v>
      </c>
      <c r="E1" s="37" t="s">
        <v>0</v>
      </c>
      <c r="F1" s="37" t="s">
        <v>91</v>
      </c>
      <c r="G1" s="37" t="s">
        <v>1</v>
      </c>
      <c r="H1" s="35" t="s">
        <v>92</v>
      </c>
      <c r="I1" s="47" t="s">
        <v>93</v>
      </c>
      <c r="J1" s="47" t="s">
        <v>94</v>
      </c>
      <c r="K1" s="47" t="s">
        <v>27</v>
      </c>
      <c r="L1" s="47" t="s">
        <v>95</v>
      </c>
      <c r="M1" s="47" t="s">
        <v>7</v>
      </c>
      <c r="N1" s="47" t="s">
        <v>29</v>
      </c>
      <c r="O1" s="47" t="s">
        <v>30</v>
      </c>
      <c r="P1" s="47" t="s">
        <v>96</v>
      </c>
      <c r="Q1" s="35" t="s">
        <v>3</v>
      </c>
      <c r="R1" s="35" t="s">
        <v>4</v>
      </c>
      <c r="S1" s="35" t="s">
        <v>5</v>
      </c>
      <c r="T1" s="35" t="s">
        <v>81</v>
      </c>
      <c r="U1" s="35" t="s">
        <v>82</v>
      </c>
      <c r="V1" s="35" t="s">
        <v>83</v>
      </c>
      <c r="W1" s="35" t="s">
        <v>84</v>
      </c>
      <c r="X1" s="35" t="s">
        <v>97</v>
      </c>
      <c r="Y1" s="35" t="s">
        <v>98</v>
      </c>
      <c r="Z1" s="35" t="s">
        <v>99</v>
      </c>
      <c r="AA1" s="35" t="s">
        <v>2</v>
      </c>
      <c r="AB1" s="35" t="s">
        <v>100</v>
      </c>
      <c r="AC1" s="35" t="s">
        <v>41</v>
      </c>
      <c r="AD1" s="35" t="s">
        <v>101</v>
      </c>
      <c r="AE1" s="35" t="s">
        <v>102</v>
      </c>
      <c r="AF1" s="35" t="s">
        <v>103</v>
      </c>
      <c r="AG1" s="35" t="s">
        <v>9</v>
      </c>
      <c r="AH1" s="35" t="s">
        <v>10</v>
      </c>
      <c r="AI1" s="35" t="s">
        <v>104</v>
      </c>
      <c r="AJ1" s="35" t="s">
        <v>105</v>
      </c>
      <c r="AK1" s="35" t="s">
        <v>106</v>
      </c>
    </row>
    <row r="2" ht="12.75">
      <c r="B2" t="s">
        <v>21</v>
      </c>
    </row>
    <row r="3" spans="1:37" ht="12.75">
      <c r="A3" t="s">
        <v>75</v>
      </c>
      <c r="B3" s="45">
        <f>Main!G6</f>
        <v>45.999999999999986</v>
      </c>
      <c r="C3" s="45">
        <f>Main!H6</f>
        <v>25</v>
      </c>
      <c r="D3" s="45">
        <v>0</v>
      </c>
      <c r="E3">
        <v>6378245</v>
      </c>
      <c r="F3">
        <v>6356863.019</v>
      </c>
      <c r="G3">
        <v>6378245</v>
      </c>
      <c r="H3">
        <v>6356863.019</v>
      </c>
      <c r="I3" s="35">
        <f>(E3-F3)/E3</f>
        <v>0.0033523298336767685</v>
      </c>
      <c r="J3" s="35">
        <f>2*I3-I3*I3</f>
        <v>0.006693421552039777</v>
      </c>
      <c r="K3" s="35">
        <f aca="true" t="shared" si="0" ref="K3:L5">B3*PI()/180</f>
        <v>0.8028514559173914</v>
      </c>
      <c r="L3" s="35">
        <f t="shared" si="0"/>
        <v>0.4363323129985824</v>
      </c>
      <c r="M3" s="35">
        <f>E3/SQRT(1-J3*SIN(K3)*SIN(K3))</f>
        <v>6389319.3307833355</v>
      </c>
      <c r="N3" s="35">
        <f>(M3+D3)*COS(K3)*COS(L3)</f>
        <v>4022551.184310045</v>
      </c>
      <c r="O3" s="35">
        <f>(M3+D3)*COS(K3)*SIN(L3)</f>
        <v>1875746.4225642334</v>
      </c>
      <c r="P3" s="35">
        <f>(M3*(1-J3)+D3)*SIN(K3)</f>
        <v>4565328.112521155</v>
      </c>
      <c r="Q3" s="46">
        <f>Parameters!D6-Parameters!D7</f>
        <v>0</v>
      </c>
      <c r="R3" s="46">
        <f>Parameters!E6-Parameters!E7</f>
        <v>0</v>
      </c>
      <c r="S3" s="46">
        <f>Parameters!F6-Parameters!F7</f>
        <v>0</v>
      </c>
      <c r="T3" s="46">
        <f>Parameters!G6-Parameters!G7</f>
        <v>0</v>
      </c>
      <c r="U3" s="46">
        <f>Parameters!H6-Parameters!H7</f>
        <v>0</v>
      </c>
      <c r="V3" s="46">
        <f>Parameters!I6-Parameters!I7</f>
        <v>0</v>
      </c>
      <c r="W3" s="46">
        <f>Parameters!J6-Parameters!J7</f>
        <v>0</v>
      </c>
      <c r="X3">
        <f>Q3+(1+W3)*(N3+RADIANS(V3/3600)*O3-RADIANS(U3/3600)*P3)</f>
        <v>4022551.184310045</v>
      </c>
      <c r="Y3">
        <f>R3+(1+W3)*(-N3*RADIANS(V3/3600)+O3+P3*RADIANS(T3/3600))</f>
        <v>1875746.4225642334</v>
      </c>
      <c r="Z3">
        <f>S3+(1+W3)*(N3*RADIANS(U3/3600)-O3*RADIANS(T3/3600)+P3)</f>
        <v>4565328.112521155</v>
      </c>
      <c r="AA3">
        <f>(G3-H3)/G3</f>
        <v>0.0033523298336767685</v>
      </c>
      <c r="AB3">
        <f>2*AA3-AA3*AA3</f>
        <v>0.006693421552039777</v>
      </c>
      <c r="AC3">
        <f>(G3*G3-H3*H3)/H3/H3</f>
        <v>0.006738525342798268</v>
      </c>
      <c r="AD3">
        <f>G3/SQRT(1-AB3*SIN(AG3)*SIN(AG3))</f>
        <v>6389319.3307833355</v>
      </c>
      <c r="AE3">
        <f>SQRT(X3*X3+Y3*Y3)</f>
        <v>4438394.154664124</v>
      </c>
      <c r="AF3">
        <f>ATAN2(AE3*H3,Z3*G3)</f>
        <v>0.8011734027918822</v>
      </c>
      <c r="AG3">
        <f>ATAN2(AE3-AB3*G3*COS(AF3)*COS(AF3)*COS(AF3),Z3+AC3*H3*SIN(AF3)*SIN(AF3)*SIN(AF3))</f>
        <v>0.8028514559173914</v>
      </c>
      <c r="AH3">
        <f>ATAN2(X3,Y3)</f>
        <v>0.43633231299858244</v>
      </c>
      <c r="AI3" s="9">
        <f aca="true" t="shared" si="1" ref="AI3:AJ5">DEGREES(AG3)</f>
        <v>45.999999999999986</v>
      </c>
      <c r="AJ3" s="9">
        <f t="shared" si="1"/>
        <v>25.000000000000004</v>
      </c>
      <c r="AK3" s="9">
        <f>AE3/COS(AG3)-AD3</f>
        <v>0</v>
      </c>
    </row>
    <row r="4" spans="1:37" ht="12.75">
      <c r="A4" t="s">
        <v>76</v>
      </c>
      <c r="B4" s="45">
        <f>Main!G6</f>
        <v>45.999999999999986</v>
      </c>
      <c r="C4" s="45">
        <f>Main!H6</f>
        <v>25</v>
      </c>
      <c r="D4" s="45">
        <v>0</v>
      </c>
      <c r="E4">
        <v>6378245</v>
      </c>
      <c r="F4">
        <v>6356863.019</v>
      </c>
      <c r="G4" s="37">
        <v>6378137</v>
      </c>
      <c r="H4" s="35">
        <v>6356752.3142</v>
      </c>
      <c r="I4" s="35">
        <f>(E4-F4)/E4</f>
        <v>0.0033523298336767685</v>
      </c>
      <c r="J4" s="35">
        <f>2*I4-I4*I4</f>
        <v>0.006693421552039777</v>
      </c>
      <c r="K4" s="35">
        <f t="shared" si="0"/>
        <v>0.8028514559173914</v>
      </c>
      <c r="L4" s="35">
        <f t="shared" si="0"/>
        <v>0.4363323129985824</v>
      </c>
      <c r="M4" s="35">
        <f>E4/SQRT(1-J4*SIN(K4)*SIN(K4))</f>
        <v>6389319.3307833355</v>
      </c>
      <c r="N4" s="35">
        <f>(M4+D4)*COS(K4)*COS(L4)</f>
        <v>4022551.184310045</v>
      </c>
      <c r="O4" s="35">
        <f>(M4+D4)*COS(K4)*SIN(L4)</f>
        <v>1875746.4225642334</v>
      </c>
      <c r="P4" s="35">
        <f>(M4*(1-J4)+D4)*SIN(K4)</f>
        <v>4565328.112521155</v>
      </c>
      <c r="Q4" s="46">
        <f>Parameters!D6</f>
        <v>2.3287</v>
      </c>
      <c r="R4" s="46">
        <f>Parameters!E6</f>
        <v>-147.0425</v>
      </c>
      <c r="S4" s="46">
        <f>Parameters!F6</f>
        <v>-92.0802</v>
      </c>
      <c r="T4" s="46">
        <f>Parameters!G6</f>
        <v>0.3092483</v>
      </c>
      <c r="U4" s="46">
        <f>Parameters!H6</f>
        <v>-0.32482185</v>
      </c>
      <c r="V4" s="46">
        <f>Parameters!I6</f>
        <v>-0.49729934</v>
      </c>
      <c r="W4" s="46">
        <f>Parameters!J6</f>
        <v>5.68906266E-06</v>
      </c>
      <c r="X4">
        <f>Q4+(1+W4)*(N4+RADIANS(V4/3600)*O4-RADIANS(U4/3600)*P4)</f>
        <v>4022579.0645836955</v>
      </c>
      <c r="Y4">
        <f>R4+(1+W4)*(-N4*RADIANS(V4/3600)+O4+P4*RADIANS(T4/3600))</f>
        <v>1875626.5943648801</v>
      </c>
      <c r="Z4">
        <f>S4+(1+W4)*(N4*RADIANS(U4/3600)-O4*RADIANS(T4/3600)+P4)</f>
        <v>4565252.8578051</v>
      </c>
      <c r="AA4">
        <f>(G4-H4)/G4</f>
        <v>0.0033528106718309896</v>
      </c>
      <c r="AB4">
        <f>2*AA4-AA4*AA4</f>
        <v>0.006694380004260835</v>
      </c>
      <c r="AC4">
        <f>(G4*G4-H4*H4)/H4/H4</f>
        <v>0.006739496756586904</v>
      </c>
      <c r="AD4">
        <f>G4/SQRT(1-AB4*SIN(AG4)*SIN(AG4))</f>
        <v>6389212.627659216</v>
      </c>
      <c r="AE4">
        <f>SQRT(X4*X4+Y4*Y4)</f>
        <v>4438368.782820535</v>
      </c>
      <c r="AF4">
        <f>ATAN2(AE4*H4,Z4*G4)</f>
        <v>0.8011682627584913</v>
      </c>
      <c r="AG4">
        <f>ATAN2(AE4-AB4*G4*COS(AF4)*COS(AF4)*COS(AF4),Z4+AC4*H4*SIN(AF4)*SIN(AF4)*SIN(AF4))</f>
        <v>0.8028465376993004</v>
      </c>
      <c r="AH4">
        <f>ATAN2(X4,Y4)</f>
        <v>0.43630518953298664</v>
      </c>
      <c r="AI4" s="9">
        <f t="shared" si="1"/>
        <v>45.99971820686065</v>
      </c>
      <c r="AJ4" s="9">
        <f t="shared" si="1"/>
        <v>24.998445939895596</v>
      </c>
      <c r="AK4" s="9">
        <f>AE4/COS(AG4)-AD4</f>
        <v>37.638776930980384</v>
      </c>
    </row>
    <row r="5" spans="1:37" ht="12.75">
      <c r="A5" t="s">
        <v>86</v>
      </c>
      <c r="B5" s="45">
        <f>Main!G6</f>
        <v>45.999999999999986</v>
      </c>
      <c r="C5" s="45">
        <f>Main!H6</f>
        <v>25</v>
      </c>
      <c r="D5" s="45">
        <v>0</v>
      </c>
      <c r="E5">
        <v>6378245</v>
      </c>
      <c r="F5">
        <v>6356863.019</v>
      </c>
      <c r="G5">
        <v>6377397.155</v>
      </c>
      <c r="H5">
        <v>6356078.963</v>
      </c>
      <c r="I5" s="35">
        <f>(E5-F5)/E5</f>
        <v>0.0033523298336767685</v>
      </c>
      <c r="J5" s="35">
        <f>2*I5-I5*I5</f>
        <v>0.006693421552039777</v>
      </c>
      <c r="K5" s="35">
        <f t="shared" si="0"/>
        <v>0.8028514559173914</v>
      </c>
      <c r="L5" s="35">
        <f t="shared" si="0"/>
        <v>0.4363323129985824</v>
      </c>
      <c r="M5" s="35">
        <f>E5/SQRT(1-J5*SIN(K5)*SIN(K5))</f>
        <v>6389319.3307833355</v>
      </c>
      <c r="N5" s="35">
        <f>(M5+D5)*COS(K5)*COS(L5)</f>
        <v>4022551.184310045</v>
      </c>
      <c r="O5" s="35">
        <f>(M5+D5)*COS(K5)*SIN(L5)</f>
        <v>1875746.4225642334</v>
      </c>
      <c r="P5" s="35">
        <f>(M5*(1-J5)+D5)*SIN(K5)</f>
        <v>4565328.112521155</v>
      </c>
      <c r="Q5" s="46">
        <f>Parameters!D6-Parameters!D8</f>
        <v>-639.6713</v>
      </c>
      <c r="R5" s="46">
        <f>Parameters!E6-Parameters!E8</f>
        <v>-5.04249999999999</v>
      </c>
      <c r="S5" s="46">
        <f>Parameters!F6-Parameters!F8</f>
        <v>-622.0802</v>
      </c>
      <c r="T5" s="46">
        <f>Parameters!G6-Parameters!G8</f>
        <v>0.3092483</v>
      </c>
      <c r="U5" s="46">
        <f>Parameters!H6-Parameters!H8</f>
        <v>-0.32482185</v>
      </c>
      <c r="V5" s="46">
        <f>Parameters!I6-Parameters!I8</f>
        <v>-0.49729934</v>
      </c>
      <c r="W5" s="46">
        <f>Parameters!J6-Parameters!J8</f>
        <v>5.68906266E-06</v>
      </c>
      <c r="X5">
        <f>Q5+(1+W5)*(N5+RADIANS(V5/3600)*O5-RADIANS(U5/3600)*P5)</f>
        <v>4021937.0645836955</v>
      </c>
      <c r="Y5">
        <f>R5+(1+W5)*(-N5*RADIANS(V5/3600)+O5+P5*RADIANS(T5/3600))</f>
        <v>1875768.5943648801</v>
      </c>
      <c r="Z5">
        <f>S5+(1+W5)*(N5*RADIANS(U5/3600)-O5*RADIANS(T5/3600)+P5)</f>
        <v>4564722.8578051</v>
      </c>
      <c r="AA5">
        <f>(G5-H5)/G5</f>
        <v>0.0033427731536659813</v>
      </c>
      <c r="AB5">
        <f>2*AA5-AA5*AA5</f>
        <v>0.006674372174975092</v>
      </c>
      <c r="AC5">
        <f>(G5*G5-H5*H5)/H5/H5</f>
        <v>0.006719218741581313</v>
      </c>
      <c r="AD5">
        <f>G5/SQRT(1-AB5*SIN(AG5)*SIN(AG5))</f>
        <v>6388438.1145021925</v>
      </c>
      <c r="AE5">
        <f>SQRT(X5*X5+Y5*Y5)</f>
        <v>4437846.952191762</v>
      </c>
      <c r="AF5">
        <f>ATAN2(AE5*H5,Z5*G5)</f>
        <v>0.8011639685037435</v>
      </c>
      <c r="AG5">
        <f>ATAN2(AE5-AB5*G5*COS(AF5)*COS(AF5)*COS(AF5),Z5+AC5*H5*SIN(AF5)*SIN(AF5)*SIN(AF5))</f>
        <v>0.8028372315303581</v>
      </c>
      <c r="AH5">
        <f>ATAN2(X5,Y5)</f>
        <v>0.43639532388877916</v>
      </c>
      <c r="AI5" s="9">
        <f t="shared" si="1"/>
        <v>45.99918500265682</v>
      </c>
      <c r="AJ5" s="9">
        <f t="shared" si="1"/>
        <v>25.00361025807164</v>
      </c>
      <c r="AK5" s="9">
        <f>AE5/COS(AG5)-AD5</f>
        <v>-0.6122744474560022</v>
      </c>
    </row>
    <row r="6" ht="12.75">
      <c r="B6" t="s">
        <v>21</v>
      </c>
    </row>
    <row r="7" spans="1:37" ht="12.75">
      <c r="A7" t="s">
        <v>75</v>
      </c>
      <c r="B7" s="45">
        <f>Main!G12</f>
        <v>46.55319195393293</v>
      </c>
      <c r="C7" s="45">
        <f>Main!H12</f>
        <v>24.38948582664092</v>
      </c>
      <c r="D7" s="45">
        <v>0</v>
      </c>
      <c r="E7">
        <v>6378245</v>
      </c>
      <c r="F7">
        <v>6356863.019</v>
      </c>
      <c r="G7">
        <v>6378245</v>
      </c>
      <c r="H7">
        <v>6356863.019</v>
      </c>
      <c r="I7" s="35">
        <f>(E7-F7)/E7</f>
        <v>0.0033523298336767685</v>
      </c>
      <c r="J7" s="35">
        <f>2*I7-I7*I7</f>
        <v>0.006693421552039777</v>
      </c>
      <c r="K7" s="35">
        <f aca="true" t="shared" si="2" ref="K7:L9">B7*PI()/180</f>
        <v>0.812506476909062</v>
      </c>
      <c r="L7" s="35">
        <f t="shared" si="2"/>
        <v>0.42567683054337496</v>
      </c>
      <c r="M7" s="35">
        <f>E7/SQRT(1-J7*SIN(K7)*SIN(K7))</f>
        <v>6389526.30479015</v>
      </c>
      <c r="N7" s="35">
        <f>(M7+D7)*COS(K7)*COS(L7)</f>
        <v>4001836.0010652053</v>
      </c>
      <c r="O7" s="35">
        <f>(M7+D7)*COS(K7)*SIN(L7)</f>
        <v>1814427.9175632494</v>
      </c>
      <c r="P7" s="35">
        <f>(M7*(1-J7)+D7)*SIN(K7)</f>
        <v>4607829.881207719</v>
      </c>
      <c r="Q7" s="46">
        <f>Parameters!D7-Parameters!D6</f>
        <v>0</v>
      </c>
      <c r="R7" s="46">
        <f>Parameters!E7-Parameters!E6</f>
        <v>0</v>
      </c>
      <c r="S7" s="46">
        <f>Parameters!F7-Parameters!F6</f>
        <v>0</v>
      </c>
      <c r="T7" s="46">
        <f>Parameters!G7-Parameters!G6</f>
        <v>0</v>
      </c>
      <c r="U7" s="46">
        <f>Parameters!H7-Parameters!H6</f>
        <v>0</v>
      </c>
      <c r="V7" s="46">
        <f>Parameters!I7-Parameters!I6</f>
        <v>0</v>
      </c>
      <c r="W7" s="46">
        <f>Parameters!J7-Parameters!J6</f>
        <v>0</v>
      </c>
      <c r="X7">
        <f>Q7+(1+W7)*(N7+RADIANS(V7/3600)*O7-RADIANS(U7/3600)*P7)</f>
        <v>4001836.0010652053</v>
      </c>
      <c r="Y7">
        <f>R7+(1+W7)*(-N7*RADIANS(V7/3600)+O7+P7*RADIANS(T7/3600))</f>
        <v>1814427.9175632494</v>
      </c>
      <c r="Z7">
        <f>S7+(1+W7)*(N7*RADIANS(U7/3600)-O7*RADIANS(T7/3600)+P7)</f>
        <v>4607829.881207719</v>
      </c>
      <c r="AA7">
        <f>(G7-H7)/G7</f>
        <v>0.0033523298336767685</v>
      </c>
      <c r="AB7">
        <f>2*AA7-AA7*AA7</f>
        <v>0.006693421552039777</v>
      </c>
      <c r="AC7">
        <f>(G7*G7-H7*H7)/H7/H7</f>
        <v>0.006738525342798268</v>
      </c>
      <c r="AD7">
        <f>G7/SQRT(1-AB7*SIN(AG7)*SIN(AG7))</f>
        <v>6389526.30479015</v>
      </c>
      <c r="AE7">
        <f>SQRT(X7*X7+Y7*Y7)</f>
        <v>4393954.943721483</v>
      </c>
      <c r="AF7">
        <f>ATAN2(AE7*H7,Z7*G7)</f>
        <v>0.8108298137948251</v>
      </c>
      <c r="AG7">
        <f>ATAN2(AE7-AB7*G7*COS(AF7)*COS(AF7)*COS(AF7),Z7+AC7*H7*SIN(AF7)*SIN(AF7)*SIN(AF7))</f>
        <v>0.812506476909062</v>
      </c>
      <c r="AH7">
        <f>ATAN2(X7,Y7)</f>
        <v>0.42567683054337496</v>
      </c>
      <c r="AI7" s="9">
        <f aca="true" t="shared" si="3" ref="AI7:AJ9">DEGREES(AG7)</f>
        <v>46.55319195393293</v>
      </c>
      <c r="AJ7" s="9">
        <f t="shared" si="3"/>
        <v>24.389485826640918</v>
      </c>
      <c r="AK7" s="9">
        <f>AE7/COS(AG7)-AD7</f>
        <v>0</v>
      </c>
    </row>
    <row r="8" spans="1:37" ht="12.75">
      <c r="A8" t="s">
        <v>76</v>
      </c>
      <c r="B8" s="45">
        <f>Main!G12</f>
        <v>46.55319195393293</v>
      </c>
      <c r="C8" s="45">
        <f>Main!H12</f>
        <v>24.38948582664092</v>
      </c>
      <c r="D8" s="45">
        <v>0</v>
      </c>
      <c r="E8">
        <v>6378245</v>
      </c>
      <c r="F8">
        <v>6356863.019</v>
      </c>
      <c r="G8" s="37">
        <v>6378137</v>
      </c>
      <c r="H8" s="35">
        <v>6356752.3142</v>
      </c>
      <c r="I8" s="35">
        <f>(E8-F8)/E8</f>
        <v>0.0033523298336767685</v>
      </c>
      <c r="J8" s="35">
        <f>2*I8-I8*I8</f>
        <v>0.006693421552039777</v>
      </c>
      <c r="K8" s="35">
        <f t="shared" si="2"/>
        <v>0.812506476909062</v>
      </c>
      <c r="L8" s="35">
        <f t="shared" si="2"/>
        <v>0.42567683054337496</v>
      </c>
      <c r="M8" s="35">
        <f>E8/SQRT(1-J8*SIN(K8)*SIN(K8))</f>
        <v>6389526.30479015</v>
      </c>
      <c r="N8" s="35">
        <f>(M8+D8)*COS(K8)*COS(L8)</f>
        <v>4001836.0010652053</v>
      </c>
      <c r="O8" s="35">
        <f>(M8+D8)*COS(K8)*SIN(L8)</f>
        <v>1814427.9175632494</v>
      </c>
      <c r="P8" s="35">
        <f>(M8*(1-J8)+D8)*SIN(K8)</f>
        <v>4607829.881207719</v>
      </c>
      <c r="Q8" s="46">
        <f>Parameters!D7</f>
        <v>2.3287</v>
      </c>
      <c r="R8" s="46">
        <f>Parameters!E7</f>
        <v>-147.0425</v>
      </c>
      <c r="S8" s="46">
        <f>Parameters!F7</f>
        <v>-92.0802</v>
      </c>
      <c r="T8" s="46">
        <f>Parameters!G7</f>
        <v>0.3092483</v>
      </c>
      <c r="U8" s="46">
        <f>Parameters!H7</f>
        <v>-0.32482185</v>
      </c>
      <c r="V8" s="46">
        <f>Parameters!I7</f>
        <v>-0.49729934</v>
      </c>
      <c r="W8" s="46">
        <f>Parameters!J7</f>
        <v>5.68906266E-06</v>
      </c>
      <c r="X8">
        <f>Q8+(1+W8)*(N8+RADIANS(V8/3600)*O8-RADIANS(U8/3600)*P8)</f>
        <v>4001863.978258467</v>
      </c>
      <c r="Y8">
        <f>R8+(1+W8)*(-N8*RADIANS(V8/3600)+O8+P8*RADIANS(T8/3600))</f>
        <v>1814307.7542973328</v>
      </c>
      <c r="Z8">
        <f>S8+(1+W8)*(N8*RADIANS(U8/3600)-O8*RADIANS(T8/3600)+P8)</f>
        <v>4607754.99284296</v>
      </c>
      <c r="AA8">
        <f>(G8-H8)/G8</f>
        <v>0.0033528106718309896</v>
      </c>
      <c r="AB8">
        <f>2*AA8-AA8*AA8</f>
        <v>0.006694380004260835</v>
      </c>
      <c r="AC8">
        <f>(G8*G8-H8*H8)/H8/H8</f>
        <v>0.006739496756586904</v>
      </c>
      <c r="AD8">
        <f>G8/SQRT(1-AB8*SIN(AG8)*SIN(AG8))</f>
        <v>6389419.628207207</v>
      </c>
      <c r="AE8">
        <f>SQRT(X8*X8+Y8*Y8)</f>
        <v>4393930.805985241</v>
      </c>
      <c r="AF8">
        <f>ATAN2(AE8*H8,Z8*G8)</f>
        <v>0.810824682098565</v>
      </c>
      <c r="AG8">
        <f>ATAN2(AE8-AB8*G8*COS(AF8)*COS(AF8)*COS(AF8),Z8+AC8*H8*SIN(AF8)*SIN(AF8)*SIN(AF8))</f>
        <v>0.8125015667403548</v>
      </c>
      <c r="AH8">
        <f>ATAN2(X8,Y8)</f>
        <v>0.4256492942296476</v>
      </c>
      <c r="AI8" s="9">
        <f t="shared" si="3"/>
        <v>46.55291062198931</v>
      </c>
      <c r="AJ8" s="9">
        <f t="shared" si="3"/>
        <v>24.387908112080993</v>
      </c>
      <c r="AK8" s="9">
        <f>AE8/COS(AG8)-AD8</f>
        <v>38.45435148384422</v>
      </c>
    </row>
    <row r="9" spans="1:37" ht="12.75">
      <c r="A9" t="s">
        <v>86</v>
      </c>
      <c r="B9" s="45">
        <f>Main!G12</f>
        <v>46.55319195393293</v>
      </c>
      <c r="C9" s="45">
        <f>Main!H12</f>
        <v>24.38948582664092</v>
      </c>
      <c r="D9" s="45">
        <v>0</v>
      </c>
      <c r="E9">
        <v>6378245</v>
      </c>
      <c r="F9">
        <v>6356863.019</v>
      </c>
      <c r="G9">
        <v>6377397.155</v>
      </c>
      <c r="H9">
        <v>6356078.963</v>
      </c>
      <c r="I9" s="35">
        <f>(E9-F9)/E9</f>
        <v>0.0033523298336767685</v>
      </c>
      <c r="J9" s="35">
        <f>2*I9-I9*I9</f>
        <v>0.006693421552039777</v>
      </c>
      <c r="K9" s="35">
        <f t="shared" si="2"/>
        <v>0.812506476909062</v>
      </c>
      <c r="L9" s="35">
        <f t="shared" si="2"/>
        <v>0.42567683054337496</v>
      </c>
      <c r="M9" s="35">
        <f>E9/SQRT(1-J9*SIN(K9)*SIN(K9))</f>
        <v>6389526.30479015</v>
      </c>
      <c r="N9" s="35">
        <f>(M9+D9)*COS(K9)*COS(L9)</f>
        <v>4001836.0010652053</v>
      </c>
      <c r="O9" s="35">
        <f>(M9+D9)*COS(K9)*SIN(L9)</f>
        <v>1814427.9175632494</v>
      </c>
      <c r="P9" s="35">
        <f>(M9*(1-J9)+D9)*SIN(K9)</f>
        <v>4607829.881207719</v>
      </c>
      <c r="Q9" s="46">
        <f>Parameters!D7-Parameters!D8</f>
        <v>-639.6713</v>
      </c>
      <c r="R9" s="46">
        <f>Parameters!E7-Parameters!E8</f>
        <v>-5.04249999999999</v>
      </c>
      <c r="S9" s="46">
        <f>Parameters!F7-Parameters!F8</f>
        <v>-622.0802</v>
      </c>
      <c r="T9" s="46">
        <f>Parameters!G7-Parameters!G8</f>
        <v>0.3092483</v>
      </c>
      <c r="U9" s="46">
        <f>Parameters!H7-Parameters!H8</f>
        <v>-0.32482185</v>
      </c>
      <c r="V9" s="46">
        <f>Parameters!I7-Parameters!I8</f>
        <v>-0.49729934</v>
      </c>
      <c r="W9" s="46">
        <f>Parameters!J7-Parameters!J8</f>
        <v>5.68906266E-06</v>
      </c>
      <c r="X9">
        <f>Q9+(1+W9)*(N9+RADIANS(V9/3600)*O9-RADIANS(U9/3600)*P9)</f>
        <v>4001221.978258467</v>
      </c>
      <c r="Y9">
        <f>R9+(1+W9)*(-N9*RADIANS(V9/3600)+O9+P9*RADIANS(T9/3600))</f>
        <v>1814449.7542973328</v>
      </c>
      <c r="Z9">
        <f>S9+(1+W9)*(N9*RADIANS(U9/3600)-O9*RADIANS(T9/3600)+P9)</f>
        <v>4607224.99284296</v>
      </c>
      <c r="AA9">
        <f>(G9-H9)/G9</f>
        <v>0.0033427731536659813</v>
      </c>
      <c r="AB9">
        <f>2*AA9-AA9*AA9</f>
        <v>0.006674372174975092</v>
      </c>
      <c r="AC9">
        <f>(G9*G9-H9*H9)/H9/H9</f>
        <v>0.006719218741581313</v>
      </c>
      <c r="AD9">
        <f>G9/SQRT(1-AB9*SIN(AG9)*SIN(AG9))</f>
        <v>6388644.503938202</v>
      </c>
      <c r="AE9">
        <f>SQRT(X9*X9+Y9*Y9)</f>
        <v>4393404.742357372</v>
      </c>
      <c r="AF9">
        <f>ATAN2(AE9*H9,Z9*G9)</f>
        <v>0.8108220010186654</v>
      </c>
      <c r="AG9">
        <f>ATAN2(AE9-AB9*G9*COS(AF9)*COS(AF9)*COS(AF9),Z9+AC9*H9*SIN(AF9)*SIN(AF9)*SIN(AF9))</f>
        <v>0.812493879864202</v>
      </c>
      <c r="AH9">
        <f>ATAN2(X9,Y9)</f>
        <v>0.4257390695019724</v>
      </c>
      <c r="AI9" s="9">
        <f t="shared" si="3"/>
        <v>46.55247019642811</v>
      </c>
      <c r="AJ9" s="9">
        <f t="shared" si="3"/>
        <v>24.39305185628984</v>
      </c>
      <c r="AK9" s="9">
        <f>AE9/COS(AG9)-AD9</f>
        <v>-3.245009302161634</v>
      </c>
    </row>
    <row r="10" ht="12.75">
      <c r="B10" t="s">
        <v>22</v>
      </c>
    </row>
    <row r="11" spans="1:37" ht="12.75">
      <c r="A11" t="s">
        <v>75</v>
      </c>
      <c r="B11" s="45">
        <f>Main!G18</f>
        <v>45.99970993805399</v>
      </c>
      <c r="C11" s="45">
        <f>Main!H18</f>
        <v>24.998429351704594</v>
      </c>
      <c r="D11" s="45">
        <v>0</v>
      </c>
      <c r="E11" s="37">
        <v>6378137</v>
      </c>
      <c r="F11" s="35">
        <v>6356752.3142</v>
      </c>
      <c r="G11">
        <v>6378245</v>
      </c>
      <c r="H11">
        <v>6356863.019</v>
      </c>
      <c r="I11" s="35">
        <f>(E11-F11)/E11</f>
        <v>0.0033528106718309896</v>
      </c>
      <c r="J11" s="35">
        <f>2*I11-I11*I11</f>
        <v>0.006694380004260835</v>
      </c>
      <c r="K11" s="35">
        <f aca="true" t="shared" si="4" ref="K11:L13">B11*PI()/180</f>
        <v>0.802846393381399</v>
      </c>
      <c r="L11" s="35">
        <f t="shared" si="4"/>
        <v>0.4363049000144367</v>
      </c>
      <c r="M11" s="35">
        <f>E11/SQRT(1-J11*SIN(K11)*SIN(K11))</f>
        <v>6389212.624564003</v>
      </c>
      <c r="N11" s="35">
        <f>(M11+D11)*COS(K11)*COS(L11)</f>
        <v>4022556.5099808197</v>
      </c>
      <c r="O11" s="35">
        <f>(M11+D11)*COS(K11)*SIN(L11)</f>
        <v>1875614.6599219816</v>
      </c>
      <c r="P11" s="35">
        <f>(M11*(1-J11)+D11)*SIN(K11)</f>
        <v>4565225.14440744</v>
      </c>
      <c r="Q11" s="46">
        <f>-Parameters!D6</f>
        <v>-2.3287</v>
      </c>
      <c r="R11" s="46">
        <f>-Parameters!E6</f>
        <v>147.0425</v>
      </c>
      <c r="S11" s="46">
        <f>-Parameters!F6</f>
        <v>92.0802</v>
      </c>
      <c r="T11" s="46">
        <f>-Parameters!G6</f>
        <v>-0.3092483</v>
      </c>
      <c r="U11" s="46">
        <f>-Parameters!H6</f>
        <v>0.32482185</v>
      </c>
      <c r="V11" s="46">
        <f>-Parameters!I6</f>
        <v>0.49729934</v>
      </c>
      <c r="W11" s="46">
        <f>-Parameters!J6</f>
        <v>-5.68906266E-06</v>
      </c>
      <c r="X11">
        <f>Q11+(1+W11)*(N11+RADIANS(V11/3600)*O11-RADIANS(U11/3600)*P11)</f>
        <v>4022528.629551694</v>
      </c>
      <c r="Y11">
        <f>R11+(1+W11)*(-N11*RADIANS(V11/3600)+O11+P11*RADIANS(T11/3600))</f>
        <v>1875734.489200706</v>
      </c>
      <c r="Z11">
        <f>S11+(1+W11)*(N11*RADIANS(U11/3600)-O11*RADIANS(T11/3600)+P11)</f>
        <v>4565300.399416052</v>
      </c>
      <c r="AA11">
        <f>(G11-H11)/G11</f>
        <v>0.0033523298336767685</v>
      </c>
      <c r="AB11">
        <f>2*AA11-AA11*AA11</f>
        <v>0.006693421552039777</v>
      </c>
      <c r="AC11">
        <f>(G11*G11-H11*H11)/H11/H11</f>
        <v>0.006738525342798268</v>
      </c>
      <c r="AD11">
        <f>G11/SQRT(1-AB11*SIN(AG11)*SIN(AG11))</f>
        <v>6389319.32768918</v>
      </c>
      <c r="AE11">
        <f>SQRT(X11*X11+Y11*Y11)</f>
        <v>4438368.669853831</v>
      </c>
      <c r="AF11">
        <f>ATAN2(AE11*H11,Z11*G11)</f>
        <v>0.8011732386508341</v>
      </c>
      <c r="AG11">
        <f>ATAN2(AE11-AB11*G11*COS(AF11)*COS(AF11)*COS(AF11),Z11+AC11*H11*SIN(AF11)*SIN(AF11)*SIN(AF11))</f>
        <v>0.8028513116304248</v>
      </c>
      <c r="AH11">
        <f>ATAN2(X11,Y11)</f>
        <v>0.43633202387264053</v>
      </c>
      <c r="AI11" s="9">
        <f aca="true" t="shared" si="5" ref="AI11:AJ13">DEGREES(AG11)</f>
        <v>45.99999173296576</v>
      </c>
      <c r="AJ11" s="9">
        <f t="shared" si="5"/>
        <v>24.999983434303783</v>
      </c>
      <c r="AK11" s="9">
        <f>AE11/COS(AG11)-AD11</f>
        <v>-37.638376214541495</v>
      </c>
    </row>
    <row r="12" spans="1:37" ht="12.75">
      <c r="A12" t="s">
        <v>75</v>
      </c>
      <c r="B12" s="45">
        <f>Main!G18</f>
        <v>45.99970993805399</v>
      </c>
      <c r="C12" s="45">
        <f>Main!H18</f>
        <v>24.998429351704594</v>
      </c>
      <c r="D12" s="45">
        <v>0</v>
      </c>
      <c r="E12" s="37">
        <v>6378137</v>
      </c>
      <c r="F12" s="35">
        <v>6356752.3142</v>
      </c>
      <c r="G12">
        <v>6378245</v>
      </c>
      <c r="H12">
        <v>6356863.019</v>
      </c>
      <c r="I12" s="35">
        <f>(E12-F12)/E12</f>
        <v>0.0033528106718309896</v>
      </c>
      <c r="J12" s="35">
        <f>2*I12-I12*I12</f>
        <v>0.006694380004260835</v>
      </c>
      <c r="K12" s="35">
        <f t="shared" si="4"/>
        <v>0.802846393381399</v>
      </c>
      <c r="L12" s="35">
        <f t="shared" si="4"/>
        <v>0.4363049000144367</v>
      </c>
      <c r="M12" s="35">
        <f>E12/SQRT(1-J12*SIN(K12)*SIN(K12))</f>
        <v>6389212.624564003</v>
      </c>
      <c r="N12" s="35">
        <f>(M12+D12)*COS(K12)*COS(L12)</f>
        <v>4022556.5099808197</v>
      </c>
      <c r="O12" s="35">
        <f>(M12+D12)*COS(K12)*SIN(L12)</f>
        <v>1875614.6599219816</v>
      </c>
      <c r="P12" s="35">
        <f>(M12*(1-J12)+D12)*SIN(K12)</f>
        <v>4565225.14440744</v>
      </c>
      <c r="Q12" s="46">
        <f>-Parameters!D7</f>
        <v>-2.3287</v>
      </c>
      <c r="R12" s="46">
        <f>-Parameters!E7</f>
        <v>147.0425</v>
      </c>
      <c r="S12" s="46">
        <f>-Parameters!F7</f>
        <v>92.0802</v>
      </c>
      <c r="T12" s="46">
        <f>-Parameters!G7</f>
        <v>-0.3092483</v>
      </c>
      <c r="U12" s="46">
        <f>-Parameters!H7</f>
        <v>0.32482185</v>
      </c>
      <c r="V12" s="46">
        <f>-Parameters!I7</f>
        <v>0.49729934</v>
      </c>
      <c r="W12" s="46">
        <f>-Parameters!J7</f>
        <v>-5.68906266E-06</v>
      </c>
      <c r="X12">
        <f>Q12+(1+W12)*(N12+RADIANS(V12/3600)*O12-RADIANS(U12/3600)*P12)</f>
        <v>4022528.629551694</v>
      </c>
      <c r="Y12">
        <f>R12+(1+W12)*(-N12*RADIANS(V12/3600)+O12+P12*RADIANS(T12/3600))</f>
        <v>1875734.489200706</v>
      </c>
      <c r="Z12">
        <f>S12+(1+W12)*(N12*RADIANS(U12/3600)-O12*RADIANS(T12/3600)+P12)</f>
        <v>4565300.399416052</v>
      </c>
      <c r="AA12">
        <f>(G12-H12)/G12</f>
        <v>0.0033523298336767685</v>
      </c>
      <c r="AB12">
        <f>2*AA12-AA12*AA12</f>
        <v>0.006693421552039777</v>
      </c>
      <c r="AC12">
        <f>(G12*G12-H12*H12)/H12/H12</f>
        <v>0.006738525342798268</v>
      </c>
      <c r="AD12">
        <f>G12/SQRT(1-AB12*SIN(AG12)*SIN(AG12))</f>
        <v>6389319.32768918</v>
      </c>
      <c r="AE12">
        <f>SQRT(X12*X12+Y12*Y12)</f>
        <v>4438368.669853831</v>
      </c>
      <c r="AF12">
        <f>ATAN2(AE12*H12,Z12*G12)</f>
        <v>0.8011732386508341</v>
      </c>
      <c r="AG12">
        <f>ATAN2(AE12-AB12*G12*COS(AF12)*COS(AF12)*COS(AF12),Z12+AC12*H12*SIN(AF12)*SIN(AF12)*SIN(AF12))</f>
        <v>0.8028513116304248</v>
      </c>
      <c r="AH12">
        <f>ATAN2(X12,Y12)</f>
        <v>0.43633202387264053</v>
      </c>
      <c r="AI12" s="9">
        <f t="shared" si="5"/>
        <v>45.99999173296576</v>
      </c>
      <c r="AJ12" s="9">
        <f t="shared" si="5"/>
        <v>24.999983434303783</v>
      </c>
      <c r="AK12" s="9">
        <f>AE12/COS(AG12)-AD12</f>
        <v>-37.638376214541495</v>
      </c>
    </row>
    <row r="13" spans="1:37" ht="12.75">
      <c r="A13" t="s">
        <v>86</v>
      </c>
      <c r="B13" s="45">
        <f>Main!G18</f>
        <v>45.99970993805399</v>
      </c>
      <c r="C13" s="45">
        <f>Main!H18</f>
        <v>24.998429351704594</v>
      </c>
      <c r="D13" s="45">
        <v>0</v>
      </c>
      <c r="E13" s="37">
        <v>6378137</v>
      </c>
      <c r="F13" s="35">
        <v>6356752.3142</v>
      </c>
      <c r="G13">
        <v>6377397.155</v>
      </c>
      <c r="H13">
        <v>6356078.963</v>
      </c>
      <c r="I13" s="35">
        <f>(E13-F13)/E13</f>
        <v>0.0033528106718309896</v>
      </c>
      <c r="J13" s="35">
        <f>2*I13-I13*I13</f>
        <v>0.006694380004260835</v>
      </c>
      <c r="K13" s="35">
        <f t="shared" si="4"/>
        <v>0.802846393381399</v>
      </c>
      <c r="L13" s="35">
        <f t="shared" si="4"/>
        <v>0.4363049000144367</v>
      </c>
      <c r="M13" s="35">
        <f>E13/SQRT(1-J13*SIN(K13)*SIN(K13))</f>
        <v>6389212.624564003</v>
      </c>
      <c r="N13" s="35">
        <f>(M13+D13)*COS(K13)*COS(L13)</f>
        <v>4022556.5099808197</v>
      </c>
      <c r="O13" s="35">
        <f>(M13+D13)*COS(K13)*SIN(L13)</f>
        <v>1875614.6599219816</v>
      </c>
      <c r="P13" s="35">
        <f>(M13*(1-J13)+D13)*SIN(K13)</f>
        <v>4565225.14440744</v>
      </c>
      <c r="Q13" s="46">
        <f>-Parameters!D8</f>
        <v>-642</v>
      </c>
      <c r="R13" s="46">
        <f>-Parameters!E8</f>
        <v>142</v>
      </c>
      <c r="S13" s="46">
        <f>-Parameters!F8</f>
        <v>-530</v>
      </c>
      <c r="T13" s="46">
        <f>-Parameters!G8</f>
        <v>0</v>
      </c>
      <c r="U13" s="46">
        <f>-Parameters!H8</f>
        <v>0</v>
      </c>
      <c r="V13" s="46">
        <f>-Parameters!I8</f>
        <v>0</v>
      </c>
      <c r="W13" s="46">
        <f>-Parameters!J8</f>
        <v>0</v>
      </c>
      <c r="X13">
        <f>Q13+(1+W13)*(N13+RADIANS(V13/3600)*O13-RADIANS(U13/3600)*P13)</f>
        <v>4021914.5099808197</v>
      </c>
      <c r="Y13">
        <f>R13+(1+W13)*(-N13*RADIANS(V13/3600)+O13+P13*RADIANS(T13/3600))</f>
        <v>1875756.6599219816</v>
      </c>
      <c r="Z13">
        <f>S13+(1+W13)*(N13*RADIANS(U13/3600)-O13*RADIANS(T13/3600)+P13)</f>
        <v>4564695.14440744</v>
      </c>
      <c r="AA13">
        <f>(G13-H13)/G13</f>
        <v>0.0033427731536659813</v>
      </c>
      <c r="AB13">
        <f>2*AA13-AA13*AA13</f>
        <v>0.006674372174975092</v>
      </c>
      <c r="AC13">
        <f>(G13*G13-H13*H13)/H13/H13</f>
        <v>0.006719218741581313</v>
      </c>
      <c r="AD13">
        <f>G13/SQRT(1-AB13*SIN(AG13)*SIN(AG13))</f>
        <v>6388438.111415377</v>
      </c>
      <c r="AE13">
        <f>SQRT(X13*X13+Y13*Y13)</f>
        <v>4437821.466985341</v>
      </c>
      <c r="AF13">
        <f>ATAN2(AE13*H13,Z13*G13)</f>
        <v>0.8011638043267533</v>
      </c>
      <c r="AG13">
        <f>ATAN2(AE13-AB13*G13*COS(AF13)*COS(AF13)*COS(AF13),Z13+AC13*H13*SIN(AF13)*SIN(AF13)*SIN(AF13))</f>
        <v>0.8028370871535565</v>
      </c>
      <c r="AH13">
        <f>ATAN2(X13,Y13)</f>
        <v>0.43639503485380154</v>
      </c>
      <c r="AI13" s="9">
        <f t="shared" si="5"/>
        <v>45.99917673047543</v>
      </c>
      <c r="AJ13" s="9">
        <f t="shared" si="5"/>
        <v>25.003593697587288</v>
      </c>
      <c r="AK13" s="9">
        <f>AE13/COS(AG13)-AD13</f>
        <v>-38.251123210415244</v>
      </c>
    </row>
    <row r="14" ht="12.75">
      <c r="B14" t="s">
        <v>87</v>
      </c>
    </row>
    <row r="15" spans="1:37" ht="12.75">
      <c r="A15" t="s">
        <v>75</v>
      </c>
      <c r="B15" s="45">
        <f>Main!G24</f>
        <v>46.552458333333334</v>
      </c>
      <c r="C15" s="45">
        <f>Main!H24</f>
        <v>24.393037500000002</v>
      </c>
      <c r="D15" s="45">
        <v>0</v>
      </c>
      <c r="E15">
        <v>6377397.155</v>
      </c>
      <c r="F15">
        <v>6356078.963</v>
      </c>
      <c r="G15">
        <v>6378245</v>
      </c>
      <c r="H15">
        <v>6356863.019</v>
      </c>
      <c r="I15" s="35">
        <f>(E15-F15)/E15</f>
        <v>0.0033427731536659813</v>
      </c>
      <c r="J15" s="35">
        <f>2*I15-I15*I15</f>
        <v>0.006674372174975092</v>
      </c>
      <c r="K15" s="35">
        <f aca="true" t="shared" si="6" ref="K15:L17">B15*PI()/180</f>
        <v>0.8124936728141386</v>
      </c>
      <c r="L15" s="35">
        <f t="shared" si="6"/>
        <v>0.4257388189374463</v>
      </c>
      <c r="M15" s="35">
        <f>E15/SQRT(1-J15*SIN(K15)*SIN(K15))</f>
        <v>6388644.499514793</v>
      </c>
      <c r="N15" s="35">
        <f>(M15+D15)*COS(K15)*COS(L15)</f>
        <v>4001225.337093098</v>
      </c>
      <c r="O15" s="35">
        <f>(M15+D15)*COS(K15)*SIN(L15)</f>
        <v>1814450.0687101237</v>
      </c>
      <c r="P15" s="35">
        <f>(M15*(1-J15)+D15)*SIN(K15)</f>
        <v>4607226.441960248</v>
      </c>
      <c r="Q15" s="46">
        <f>Parameters!D8-Parameters!D6</f>
        <v>639.6713</v>
      </c>
      <c r="R15" s="46">
        <f>Parameters!E8-Parameters!E6</f>
        <v>5.04249999999999</v>
      </c>
      <c r="S15" s="46">
        <f>Parameters!F8-Parameters!F6</f>
        <v>622.0802</v>
      </c>
      <c r="T15" s="46">
        <f>Parameters!G8-Parameters!G6</f>
        <v>-0.3092483</v>
      </c>
      <c r="U15" s="46">
        <f>Parameters!H8-Parameters!H6</f>
        <v>0.32482185</v>
      </c>
      <c r="V15" s="46">
        <f>Parameters!I8-Parameters!I6</f>
        <v>0.49729934</v>
      </c>
      <c r="W15" s="46">
        <f>Parameters!J8-Parameters!J6</f>
        <v>-5.68906266E-06</v>
      </c>
      <c r="X15">
        <f>Q15+(1+W15)*(N15+RADIANS(V15/3600)*O15-RADIANS(U15/3600)*P15)</f>
        <v>4001839.364410416</v>
      </c>
      <c r="Y15">
        <f>R15+(1+W15)*(-N15*RADIANS(V15/3600)+O15+P15*RADIANS(T15/3600))</f>
        <v>1814428.234415411</v>
      </c>
      <c r="Z15">
        <f>S15+(1+W15)*(N15*RADIANS(U15/3600)-O15*RADIANS(T15/3600)+P15)</f>
        <v>4607831.332726909</v>
      </c>
      <c r="AA15">
        <f>(G15-H15)/G15</f>
        <v>0.0033523298336767685</v>
      </c>
      <c r="AB15">
        <f>2*AA15-AA15*AA15</f>
        <v>0.006693421552039777</v>
      </c>
      <c r="AC15">
        <f>(G15*G15-H15*H15)/H15/H15</f>
        <v>0.006738525342798268</v>
      </c>
      <c r="AD15">
        <f>G15/SQRT(1-AB15*SIN(AG15)*SIN(AG15))</f>
        <v>6389526.300346798</v>
      </c>
      <c r="AE15">
        <f>SQRT(X15*X15+Y15*Y15)</f>
        <v>4393958.137760144</v>
      </c>
      <c r="AF15">
        <f>ATAN2(AE15*H15,Z15*G15)</f>
        <v>0.8108296081087215</v>
      </c>
      <c r="AG15">
        <f>ATAN2(AE15-AB15*G15*COS(AF15)*COS(AF15)*COS(AF15),Z15+AC15*H15*SIN(AF15)*SIN(AF15)*SIN(AF15))</f>
        <v>0.8125062695478289</v>
      </c>
      <c r="AH15">
        <f>ATAN2(X15,Y15)</f>
        <v>0.4256765801371183</v>
      </c>
      <c r="AI15" s="9">
        <f aca="true" t="shared" si="7" ref="AI15:AJ17">DEGREES(AG15)</f>
        <v>46.553180073009436</v>
      </c>
      <c r="AJ15" s="9">
        <f t="shared" si="7"/>
        <v>24.389471479419246</v>
      </c>
      <c r="AK15" s="9">
        <f>AE15/COS(AG15)-AD15</f>
        <v>3.250301348976791</v>
      </c>
    </row>
    <row r="16" spans="1:37" ht="12.75">
      <c r="A16" t="s">
        <v>75</v>
      </c>
      <c r="B16" s="45">
        <f>Main!G24</f>
        <v>46.552458333333334</v>
      </c>
      <c r="C16" s="45">
        <f>Main!H24</f>
        <v>24.393037500000002</v>
      </c>
      <c r="D16" s="45">
        <v>0</v>
      </c>
      <c r="E16">
        <v>6377397.155</v>
      </c>
      <c r="F16">
        <v>6356078.963</v>
      </c>
      <c r="G16">
        <v>6378245</v>
      </c>
      <c r="H16">
        <v>6356863.019</v>
      </c>
      <c r="I16" s="35">
        <f>(E16-F16)/E16</f>
        <v>0.0033427731536659813</v>
      </c>
      <c r="J16" s="35">
        <f>2*I16-I16*I16</f>
        <v>0.006674372174975092</v>
      </c>
      <c r="K16" s="35">
        <f t="shared" si="6"/>
        <v>0.8124936728141386</v>
      </c>
      <c r="L16" s="35">
        <f t="shared" si="6"/>
        <v>0.4257388189374463</v>
      </c>
      <c r="M16" s="35">
        <f>E16/SQRT(1-J16*SIN(K16)*SIN(K16))</f>
        <v>6388644.499514793</v>
      </c>
      <c r="N16" s="35">
        <f>(M16+D16)*COS(K16)*COS(L16)</f>
        <v>4001225.337093098</v>
      </c>
      <c r="O16" s="35">
        <f>(M16+D16)*COS(K16)*SIN(L16)</f>
        <v>1814450.0687101237</v>
      </c>
      <c r="P16" s="35">
        <f>(M16*(1-J16)+D16)*SIN(K16)</f>
        <v>4607226.441960248</v>
      </c>
      <c r="Q16" s="46">
        <f>Parameters!D8-Parameters!D7</f>
        <v>639.6713</v>
      </c>
      <c r="R16" s="46">
        <f>Parameters!E8-Parameters!E7</f>
        <v>5.04249999999999</v>
      </c>
      <c r="S16" s="46">
        <f>Parameters!F8-Parameters!F7</f>
        <v>622.0802</v>
      </c>
      <c r="T16" s="46">
        <f>Parameters!G8-Parameters!G7</f>
        <v>-0.3092483</v>
      </c>
      <c r="U16" s="46">
        <f>Parameters!H8-Parameters!H7</f>
        <v>0.32482185</v>
      </c>
      <c r="V16" s="46">
        <f>Parameters!I8-Parameters!I7</f>
        <v>0.49729934</v>
      </c>
      <c r="W16" s="46">
        <f>Parameters!J8-Parameters!J7</f>
        <v>-5.68906266E-06</v>
      </c>
      <c r="X16">
        <f>Q16+(1+W16)*(N16+RADIANS(V16/3600)*O16-RADIANS(U16/3600)*P16)</f>
        <v>4001839.364410416</v>
      </c>
      <c r="Y16">
        <f>R16+(1+W16)*(-N16*RADIANS(V16/3600)+O16+P16*RADIANS(T16/3600))</f>
        <v>1814428.234415411</v>
      </c>
      <c r="Z16">
        <f>S16+(1+W16)*(N16*RADIANS(U16/3600)-O16*RADIANS(T16/3600)+P16)</f>
        <v>4607831.332726909</v>
      </c>
      <c r="AA16">
        <f>(G16-H16)/G16</f>
        <v>0.0033523298336767685</v>
      </c>
      <c r="AB16">
        <f>2*AA16-AA16*AA16</f>
        <v>0.006693421552039777</v>
      </c>
      <c r="AC16">
        <f>(G16*G16-H16*H16)/H16/H16</f>
        <v>0.006738525342798268</v>
      </c>
      <c r="AD16">
        <f>G16/SQRT(1-AB16*SIN(AG16)*SIN(AG16))</f>
        <v>6389526.300346798</v>
      </c>
      <c r="AE16">
        <f>SQRT(X16*X16+Y16*Y16)</f>
        <v>4393958.137760144</v>
      </c>
      <c r="AF16">
        <f>ATAN2(AE16*H16,Z16*G16)</f>
        <v>0.8108296081087215</v>
      </c>
      <c r="AG16">
        <f>ATAN2(AE16-AB16*G16*COS(AF16)*COS(AF16)*COS(AF16),Z16+AC16*H16*SIN(AF16)*SIN(AF16)*SIN(AF16))</f>
        <v>0.8125062695478289</v>
      </c>
      <c r="AH16">
        <f>ATAN2(X16,Y16)</f>
        <v>0.4256765801371183</v>
      </c>
      <c r="AI16" s="9">
        <f t="shared" si="7"/>
        <v>46.553180073009436</v>
      </c>
      <c r="AJ16" s="9">
        <f t="shared" si="7"/>
        <v>24.389471479419246</v>
      </c>
      <c r="AK16" s="9">
        <f>AE16/COS(AG16)-AD16</f>
        <v>3.250301348976791</v>
      </c>
    </row>
    <row r="17" spans="1:37" ht="12.75">
      <c r="A17" t="s">
        <v>76</v>
      </c>
      <c r="B17" s="45">
        <f>Main!G24</f>
        <v>46.552458333333334</v>
      </c>
      <c r="C17" s="45">
        <f>Main!H24</f>
        <v>24.393037500000002</v>
      </c>
      <c r="D17" s="45">
        <v>0</v>
      </c>
      <c r="E17">
        <v>6377397.155</v>
      </c>
      <c r="F17">
        <v>6356078.963</v>
      </c>
      <c r="G17" s="37">
        <v>6378137</v>
      </c>
      <c r="H17" s="35">
        <v>6356752.3142</v>
      </c>
      <c r="I17" s="35">
        <f>(E17-F17)/E17</f>
        <v>0.0033427731536659813</v>
      </c>
      <c r="J17" s="35">
        <f>2*I17-I17*I17</f>
        <v>0.006674372174975092</v>
      </c>
      <c r="K17" s="35">
        <f t="shared" si="6"/>
        <v>0.8124936728141386</v>
      </c>
      <c r="L17" s="35">
        <f t="shared" si="6"/>
        <v>0.4257388189374463</v>
      </c>
      <c r="M17" s="35">
        <f>E17/SQRT(1-J17*SIN(K17)*SIN(K17))</f>
        <v>6388644.499514793</v>
      </c>
      <c r="N17" s="35">
        <f>(M17+D17)*COS(K17)*COS(L17)</f>
        <v>4001225.337093098</v>
      </c>
      <c r="O17" s="35">
        <f>(M17+D17)*COS(K17)*SIN(L17)</f>
        <v>1814450.0687101237</v>
      </c>
      <c r="P17" s="35">
        <f>(M17*(1-J17)+D17)*SIN(K17)</f>
        <v>4607226.441960248</v>
      </c>
      <c r="Q17" s="46">
        <f>Parameters!D8</f>
        <v>642</v>
      </c>
      <c r="R17" s="46">
        <f>Parameters!E8</f>
        <v>-142</v>
      </c>
      <c r="S17" s="46">
        <f>Parameters!F8</f>
        <v>530</v>
      </c>
      <c r="T17" s="46">
        <f>Parameters!G8</f>
        <v>0</v>
      </c>
      <c r="U17" s="46">
        <f>Parameters!H8</f>
        <v>0</v>
      </c>
      <c r="V17" s="46">
        <f>Parameters!I8</f>
        <v>0</v>
      </c>
      <c r="W17" s="46">
        <f>Parameters!J8</f>
        <v>0</v>
      </c>
      <c r="X17">
        <f>Q17+(1+W17)*(N17+RADIANS(V17/3600)*O17-RADIANS(U17/3600)*P17)</f>
        <v>4001867.337093098</v>
      </c>
      <c r="Y17">
        <f>R17+(1+W17)*(-N17*RADIANS(V17/3600)+O17+P17*RADIANS(T17/3600))</f>
        <v>1814308.0687101237</v>
      </c>
      <c r="Z17">
        <f>S17+(1+W17)*(N17*RADIANS(U17/3600)-O17*RADIANS(T17/3600)+P17)</f>
        <v>4607756.441960248</v>
      </c>
      <c r="AA17">
        <f>(G17-H17)/G17</f>
        <v>0.0033528106718309896</v>
      </c>
      <c r="AB17">
        <f>2*AA17-AA17*AA17</f>
        <v>0.006694380004260835</v>
      </c>
      <c r="AC17">
        <f>(G17*G17-H17*H17)/H17/H17</f>
        <v>0.006739496756586904</v>
      </c>
      <c r="AD17">
        <f>G17/SQRT(1-AB17*SIN(AG17)*SIN(AG17))</f>
        <v>6389419.623770156</v>
      </c>
      <c r="AE17">
        <f>SQRT(X17*X17+Y17*Y17)</f>
        <v>4393933.994938848</v>
      </c>
      <c r="AF17">
        <f>ATAN2(AE17*H17,Z17*G17)</f>
        <v>0.8108244767305134</v>
      </c>
      <c r="AG17">
        <f>ATAN2(AE17-AB17*G17*COS(AF17)*COS(AF17)*COS(AF17),Z17+AC17*H17*SIN(AF17)*SIN(AF17)*SIN(AF17))</f>
        <v>0.8125013596996163</v>
      </c>
      <c r="AH17">
        <f>ATAN2(X17,Y17)</f>
        <v>0.4256490437602749</v>
      </c>
      <c r="AI17" s="9">
        <f t="shared" si="7"/>
        <v>46.55289875942881</v>
      </c>
      <c r="AJ17" s="9">
        <f t="shared" si="7"/>
        <v>24.38789376124304</v>
      </c>
      <c r="AK17" s="9">
        <f>AE17/COS(AG17)-AD17</f>
        <v>41.69941860251129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"/>
  <sheetViews>
    <sheetView workbookViewId="0" topLeftCell="A1">
      <selection activeCell="D2" sqref="D2"/>
    </sheetView>
  </sheetViews>
  <sheetFormatPr defaultColWidth="9.140625" defaultRowHeight="12.75"/>
  <sheetData>
    <row r="1" spans="1:41" ht="12.75">
      <c r="A1" s="39">
        <f>Main!C24</f>
        <v>600000</v>
      </c>
      <c r="B1" s="39">
        <f>Main!D24</f>
        <v>600000</v>
      </c>
      <c r="C1" s="36">
        <v>6377397.155</v>
      </c>
      <c r="D1" s="36">
        <v>0.08169683122252751</v>
      </c>
      <c r="E1" s="36">
        <v>600000</v>
      </c>
      <c r="F1" s="36">
        <v>600000</v>
      </c>
      <c r="G1" s="36">
        <v>1</v>
      </c>
      <c r="H1" s="36">
        <f>46+33/60+8.85/3600</f>
        <v>46.552458333333334</v>
      </c>
      <c r="I1" s="36">
        <f>24+23/60+34.935/3600</f>
        <v>24.3930375</v>
      </c>
      <c r="J1" s="37">
        <f>H1*PI()/180</f>
        <v>0.8124936728141386</v>
      </c>
      <c r="K1" s="37">
        <f>I1*PI()/180</f>
        <v>0.4257388189374463</v>
      </c>
      <c r="L1">
        <f>C1/SQRT(1-D1*D1*SIN(J1)*SIN(J1))</f>
        <v>6388644.49961081</v>
      </c>
      <c r="M1" s="38">
        <f>C1*(1-D1*D1)/POWER((1-D1*D1*SIN(J1)*SIN(J1)),1.5)</f>
        <v>6368408.005359866</v>
      </c>
      <c r="N1">
        <f>SQRT(L1*M1)</f>
        <v>6378518.227199774</v>
      </c>
      <c r="O1">
        <f>SQRT(1+((D1*D1*POWER(COS(J1),4))/(1-D1*D1)))</f>
        <v>1.0007510985945849</v>
      </c>
      <c r="P1">
        <f>(1+SIN(J1))/(1-SIN(J1))</f>
        <v>6.299384735452781</v>
      </c>
      <c r="Q1">
        <f>(1-D1*SIN(J1))/(1+D1*SIN(J1))</f>
        <v>0.8880174357658721</v>
      </c>
      <c r="R1">
        <f>POWER(P1*POWER(Q1,D1),O1)</f>
        <v>6.247144044537545</v>
      </c>
      <c r="S1">
        <f>(R1-1)/(R1+1)</f>
        <v>0.7240292192746633</v>
      </c>
      <c r="T1">
        <f>(O1+SIN(J1))*(1-S1)/((O1-SIN(J1))*(1+S1))</f>
        <v>1.006043291704963</v>
      </c>
      <c r="U1">
        <f>T1*R1</f>
        <v>6.284897358321608</v>
      </c>
      <c r="V1">
        <f>ASIN((U1-1)/(U1+1))</f>
        <v>0.8117016534893132</v>
      </c>
      <c r="W1">
        <f>2*N1*G1*TAN(PI()/4-V1/2)</f>
        <v>5088627.983258519</v>
      </c>
      <c r="X1">
        <f>4*N1*G1*TAN(V1)+W1</f>
        <v>31981504.569462873</v>
      </c>
      <c r="Y1">
        <f>ATAN((A1-E1)/(X1+B1-F1))</f>
        <v>0</v>
      </c>
      <c r="Z1">
        <f>ATAN((A1-E1)/(W1-B1+F1))-Y1</f>
        <v>0</v>
      </c>
      <c r="AA1">
        <f>V1+2*ATAN((B1-F1-(A1-E1)*TAN(Z1/2))/(2*N1*G1))</f>
        <v>0.8117016534893132</v>
      </c>
      <c r="AB1">
        <f>Z1+2*Y1+K1</f>
        <v>0.4257388189374463</v>
      </c>
      <c r="AC1">
        <f>K1+(AB1-K1)/O1</f>
        <v>0.4257388189374463</v>
      </c>
      <c r="AD1">
        <f>(0.5*LN((1+SIN(AA1))/(T1*(1-SIN(AA1)))))/O1</f>
        <v>0.915374666594171</v>
      </c>
      <c r="AE1">
        <f>2*ATAN(POWER(EXP(1),AD1))-PI()/2</f>
        <v>0.8091515938628349</v>
      </c>
      <c r="AF1">
        <f>LN(TAN(AE1/2+PI()/4)*POWER((1-$D1*SIN(AE1))/(1+$D1*SIN(AE1)),$D1/2))</f>
        <v>0.9105387703132892</v>
      </c>
      <c r="AG1">
        <f>AE1-(AF1-$AD1)*COS(AE1)*(1-$D1*$D1*SIN(AE1)*SIN(AE1))/(1-$D1*$D1)</f>
        <v>0.8124995867977287</v>
      </c>
      <c r="AH1">
        <f>LN(TAN(AG1/2+PI()/4)*POWER((1-$D1*SIN(AG1))/(1+$D1*SIN(AG1)),$D1/2))</f>
        <v>0.9153832391600117</v>
      </c>
      <c r="AI1">
        <f>AG1-(AH1-$AD1)*COS(AG1)*(1-$D1*$D1*SIN(AG1)*SIN(AG1))/(1-$D1*$D1)</f>
        <v>0.8124936728327178</v>
      </c>
      <c r="AJ1">
        <f>LN(TAN(AI1/2+PI()/4)*POWER((1-$D1*SIN(AI1))/(1+$D1*SIN(AI1)),$D1/2))</f>
        <v>0.9153746666211023</v>
      </c>
      <c r="AK1">
        <f>AI1-(AJ1-$AD1)*COS(AI1)*(1-$D1*$D1*SIN(AI1)*SIN(AI1))/(1-$D1*$D1)</f>
        <v>0.8124936728141385</v>
      </c>
      <c r="AL1">
        <f>LN(TAN(AK1/2+PI()/4)*POWER((1-$D1*SIN(AK1))/(1+$D1*SIN(AK1)),$D1/2))</f>
        <v>0.9153746665941709</v>
      </c>
      <c r="AM1">
        <f>AK1-(AL1-$AD1)*COS(AK1)*(1-$D1*$D1*SIN(AK1)*SIN(AK1))/(1-$D1*$D1)</f>
        <v>0.8124936728141386</v>
      </c>
      <c r="AN1" s="9">
        <f>AM1*180/PI()</f>
        <v>46.552458333333334</v>
      </c>
      <c r="AO1" s="9">
        <f>AC1*180/PI()</f>
        <v>24.393037500000002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"/>
  <sheetViews>
    <sheetView workbookViewId="0" topLeftCell="AB1">
      <selection activeCell="A3" sqref="A1:AG3"/>
    </sheetView>
  </sheetViews>
  <sheetFormatPr defaultColWidth="9.140625" defaultRowHeight="12.75"/>
  <sheetData>
    <row r="1" spans="1:33" ht="12.75">
      <c r="A1" s="8">
        <f>Main!G8</f>
        <v>45.99918500265682</v>
      </c>
      <c r="B1" s="8">
        <f>Main!H8</f>
        <v>25.00361025807164</v>
      </c>
      <c r="C1" s="36">
        <v>6377397.155</v>
      </c>
      <c r="D1" s="36">
        <v>0.08169683122252751</v>
      </c>
      <c r="E1" s="36">
        <v>600000</v>
      </c>
      <c r="F1" s="36">
        <v>600000</v>
      </c>
      <c r="G1" s="36">
        <v>1</v>
      </c>
      <c r="H1" s="36">
        <f>46+33/60+8.85/3600</f>
        <v>46.552458333333334</v>
      </c>
      <c r="I1" s="36">
        <f>24+23/60+34.935/3600</f>
        <v>24.3930375</v>
      </c>
      <c r="J1" s="37">
        <f aca="true" t="shared" si="0" ref="J1:K3">H1*PI()/180</f>
        <v>0.8124936728141386</v>
      </c>
      <c r="K1" s="37">
        <f t="shared" si="0"/>
        <v>0.4257388189374463</v>
      </c>
      <c r="L1">
        <f aca="true" t="shared" si="1" ref="L1:M3">A1*PI()/180</f>
        <v>0.8028372315303582</v>
      </c>
      <c r="M1">
        <f t="shared" si="1"/>
        <v>0.4363953238887792</v>
      </c>
      <c r="N1">
        <f>C1/SQRT(1-D1*D1*SIN(J1)*SIN(J1))</f>
        <v>6388644.49961081</v>
      </c>
      <c r="O1" s="38">
        <f>C1*(1-D1*D1)/POWER((1-D1*D1*SIN(J1)*SIN(J1)),1.5)</f>
        <v>6368408.005359866</v>
      </c>
      <c r="P1">
        <f>SQRT(N1*O1)</f>
        <v>6378518.227199774</v>
      </c>
      <c r="Q1">
        <f>SQRT(1+((D1*D1*POWER(COS(J1),4))/(1-D1*D1)))</f>
        <v>1.0007510985945849</v>
      </c>
      <c r="R1">
        <f>(1+SIN(J1))/(1-SIN(J1))</f>
        <v>6.299384735452781</v>
      </c>
      <c r="S1">
        <f>(1-D1*SIN(J1))/(1+D1*SIN(J1))</f>
        <v>0.8880174357658721</v>
      </c>
      <c r="T1">
        <f>POWER(R1*POWER(S1,D1),Q1)</f>
        <v>6.247144044537545</v>
      </c>
      <c r="U1">
        <f>(T1-1)/(T1+1)</f>
        <v>0.7240292192746633</v>
      </c>
      <c r="V1">
        <f>(Q1+SIN(J1))*(1-U1)/((Q1-SIN(J1))*(1+U1))</f>
        <v>1.006043291704963</v>
      </c>
      <c r="W1">
        <f>V1*T1</f>
        <v>6.284897358321608</v>
      </c>
      <c r="X1">
        <f>ASIN((W1-1)/(W1+1))</f>
        <v>0.8117016534893132</v>
      </c>
      <c r="Y1">
        <f>K1</f>
        <v>0.4257388189374463</v>
      </c>
      <c r="Z1">
        <f>Q1*(M1-Y1)+Y1</f>
        <v>0.43640332797467135</v>
      </c>
      <c r="AA1">
        <f>(1+SIN(L1))/(1-SIN(L1))</f>
        <v>6.12580405482091</v>
      </c>
      <c r="AB1">
        <f>(1-D1*SIN(L1))/(1+D1*SIN(L1))</f>
        <v>0.8889897845552828</v>
      </c>
      <c r="AC1">
        <f>V1*POWER(AA1*POWER(AB1,D1),Q1)</f>
        <v>6.112134463114652</v>
      </c>
      <c r="AD1">
        <f>ASIN((AC1-1)/(AC1+1))</f>
        <v>0.8020609851850484</v>
      </c>
      <c r="AE1">
        <f>1+SIN(AD1)*SIN(X1)+COS(AD1)*COS(X1)*COS(Z1-Y1)</f>
        <v>1.9999263190408358</v>
      </c>
      <c r="AF1" s="9">
        <f>E1+2*P1*G1*COS(AD1)*SIN(Z1-Y1)/AE1</f>
        <v>647292.78850842</v>
      </c>
      <c r="AG1" s="9">
        <f>F1+2*P1*G1*(SIN(AD1)*COS(X1)-COS(AD1)*SIN(X1)*COS(Z1-Y1))/AE1</f>
        <v>538688.454609243</v>
      </c>
    </row>
    <row r="2" spans="1:33" ht="12.75">
      <c r="A2" s="8">
        <f>Main!G14</f>
        <v>46.55247019642811</v>
      </c>
      <c r="B2" s="8">
        <f>Main!H14</f>
        <v>24.39305185628984</v>
      </c>
      <c r="C2" s="36">
        <v>6377397.155</v>
      </c>
      <c r="D2" s="36">
        <v>0.08169683122252751</v>
      </c>
      <c r="E2" s="36">
        <v>600000</v>
      </c>
      <c r="F2" s="36">
        <v>600000</v>
      </c>
      <c r="G2" s="36">
        <v>1</v>
      </c>
      <c r="H2" s="36">
        <f>46+33/60+8.85/3600</f>
        <v>46.552458333333334</v>
      </c>
      <c r="I2" s="36">
        <f>24+23/60+34.935/3600</f>
        <v>24.3930375</v>
      </c>
      <c r="J2" s="37">
        <f t="shared" si="0"/>
        <v>0.8124936728141386</v>
      </c>
      <c r="K2" s="37">
        <f t="shared" si="0"/>
        <v>0.4257388189374463</v>
      </c>
      <c r="L2">
        <f t="shared" si="1"/>
        <v>0.8124938798642019</v>
      </c>
      <c r="M2">
        <f t="shared" si="1"/>
        <v>0.4257390695019723</v>
      </c>
      <c r="N2">
        <f>C2/SQRT(1-D2*D2*SIN(J2)*SIN(J2))</f>
        <v>6388644.49961081</v>
      </c>
      <c r="O2" s="38">
        <f>C2*(1-D2*D2)/POWER((1-D2*D2*SIN(J2)*SIN(J2)),1.5)</f>
        <v>6368408.005359866</v>
      </c>
      <c r="P2">
        <f>SQRT(N2*O2)</f>
        <v>6378518.227199774</v>
      </c>
      <c r="Q2">
        <f>SQRT(1+((D2*D2*POWER(COS(J2),4))/(1-D2*D2)))</f>
        <v>1.0007510985945849</v>
      </c>
      <c r="R2">
        <f>(1+SIN(J2))/(1-SIN(J2))</f>
        <v>6.299384735452781</v>
      </c>
      <c r="S2">
        <f>(1-D2*SIN(J2))/(1+D2*SIN(J2))</f>
        <v>0.8880174357658721</v>
      </c>
      <c r="T2">
        <f>POWER(R2*POWER(S2,D2),Q2)</f>
        <v>6.247144044537545</v>
      </c>
      <c r="U2">
        <f>(T2-1)/(T2+1)</f>
        <v>0.7240292192746633</v>
      </c>
      <c r="V2">
        <f>(Q2+SIN(J2))*(1-U2)/((Q2-SIN(J2))*(1+U2))</f>
        <v>1.006043291704963</v>
      </c>
      <c r="W2">
        <f>V2*T2</f>
        <v>6.284897358321608</v>
      </c>
      <c r="X2">
        <f>ASIN((W2-1)/(W2+1))</f>
        <v>0.8117016534893132</v>
      </c>
      <c r="Y2">
        <f>K2</f>
        <v>0.4257388189374463</v>
      </c>
      <c r="Z2">
        <f>Q2*(M2-Y2)+Y2</f>
        <v>0.425739069690171</v>
      </c>
      <c r="AA2">
        <f>(1+SIN(L2))/(1-SIN(L2))</f>
        <v>6.299388528697549</v>
      </c>
      <c r="AB2">
        <f>(1-D2*SIN(L2))/(1+D2*SIN(L2))</f>
        <v>0.8880174150331971</v>
      </c>
      <c r="AC2">
        <f>V2*POWER(AA2*POWER(AB2,D2),Q2)</f>
        <v>6.2849011336884395</v>
      </c>
      <c r="AD2">
        <f>ASIN((AC2-1)/(AC2+1))</f>
        <v>0.8117018602111936</v>
      </c>
      <c r="AE2">
        <f>1+SIN(AD2)*SIN(X2)+COS(AD2)*COS(X2)*COS(Z2-Y2)</f>
        <v>1.9999999999999638</v>
      </c>
      <c r="AF2" s="9">
        <f>E2+2*P2*G2*COS(AD2)*SIN(Z2-Y2)/AE2</f>
        <v>600001.1008319361</v>
      </c>
      <c r="AG2" s="9">
        <f>F2+2*P2*G2*(SIN(AD2)*COS(X2)-COS(AD2)*SIN(X2)*COS(Z2-Y2))/AE2</f>
        <v>600001.3185793816</v>
      </c>
    </row>
    <row r="3" spans="1:33" ht="12.75">
      <c r="A3" s="8">
        <f>Main!G20</f>
        <v>45.99917673047543</v>
      </c>
      <c r="B3" s="8">
        <f>Main!H20</f>
        <v>25.003593697587288</v>
      </c>
      <c r="C3" s="36">
        <v>6377397.155</v>
      </c>
      <c r="D3" s="36">
        <v>0.08169683122252751</v>
      </c>
      <c r="E3" s="36">
        <v>600000</v>
      </c>
      <c r="F3" s="36">
        <v>600000</v>
      </c>
      <c r="G3" s="36">
        <v>1</v>
      </c>
      <c r="H3" s="36">
        <f>46+33/60+8.85/3600</f>
        <v>46.552458333333334</v>
      </c>
      <c r="I3" s="36">
        <f>24+23/60+34.935/3600</f>
        <v>24.3930375</v>
      </c>
      <c r="J3" s="37">
        <f t="shared" si="0"/>
        <v>0.8124936728141386</v>
      </c>
      <c r="K3" s="37">
        <f t="shared" si="0"/>
        <v>0.4257388189374463</v>
      </c>
      <c r="L3">
        <f t="shared" si="1"/>
        <v>0.8028370871535565</v>
      </c>
      <c r="M3">
        <f t="shared" si="1"/>
        <v>0.4363950348538015</v>
      </c>
      <c r="N3">
        <f>C3/SQRT(1-D3*D3*SIN(J3)*SIN(J3))</f>
        <v>6388644.49961081</v>
      </c>
      <c r="O3" s="38">
        <f>C3*(1-D3*D3)/POWER((1-D3*D3*SIN(J3)*SIN(J3)),1.5)</f>
        <v>6368408.005359866</v>
      </c>
      <c r="P3">
        <f>SQRT(N3*O3)</f>
        <v>6378518.227199774</v>
      </c>
      <c r="Q3">
        <f>SQRT(1+((D3*D3*POWER(COS(J3),4))/(1-D3*D3)))</f>
        <v>1.0007510985945849</v>
      </c>
      <c r="R3">
        <f>(1+SIN(J3))/(1-SIN(J3))</f>
        <v>6.299384735452781</v>
      </c>
      <c r="S3">
        <f>(1-D3*SIN(J3))/(1+D3*SIN(J3))</f>
        <v>0.8880174357658721</v>
      </c>
      <c r="T3">
        <f>POWER(R3*POWER(S3,D3),Q3)</f>
        <v>6.247144044537545</v>
      </c>
      <c r="U3">
        <f>(T3-1)/(T3+1)</f>
        <v>0.7240292192746633</v>
      </c>
      <c r="V3">
        <f>(Q3+SIN(J3))*(1-U3)/((Q3-SIN(J3))*(1+U3))</f>
        <v>1.006043291704963</v>
      </c>
      <c r="W3">
        <f>V3*T3</f>
        <v>6.284897358321608</v>
      </c>
      <c r="X3">
        <f>ASIN((W3-1)/(W3+1))</f>
        <v>0.8117016534893132</v>
      </c>
      <c r="Y3">
        <f>K3</f>
        <v>0.4257388189374463</v>
      </c>
      <c r="Z3">
        <f>Q3*(M3-Y3)+Y3</f>
        <v>0.43640303872259983</v>
      </c>
      <c r="AA3">
        <f>(1+SIN(L3))/(1-SIN(L3))</f>
        <v>6.12580150850244</v>
      </c>
      <c r="AB3">
        <f>(1-D3*SIN(L3))/(1+D3*SIN(L3))</f>
        <v>0.8889897991740098</v>
      </c>
      <c r="AC3">
        <f>V3*POWER(AA3*POWER(AB3,D3),Q3)</f>
        <v>6.112131928787411</v>
      </c>
      <c r="AD3">
        <f>ASIN((AC3-1)/(AC3+1))</f>
        <v>0.8020608410510596</v>
      </c>
      <c r="AE3">
        <f>1+SIN(AD3)*SIN(X3)+COS(AD3)*COS(X3)*COS(Z3-Y3)</f>
        <v>1.999926319123241</v>
      </c>
      <c r="AF3" s="9">
        <f>E3+2*P3*G3*COS(AD3)*SIN(Z3-Y3)/AE3</f>
        <v>647291.5128863774</v>
      </c>
      <c r="AG3" s="9">
        <f>F3+2*P3*G3*(SIN(AD3)*COS(X3)-COS(AD3)*SIN(X3)*COS(Z3-Y3))/AE3</f>
        <v>538687.5253627967</v>
      </c>
    </row>
    <row r="5" spans="8:9" ht="12.75">
      <c r="H5" s="37"/>
      <c r="I5" s="3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2" width="10.57421875" style="0" bestFit="1" customWidth="1"/>
    <col min="30" max="30" width="11.28125" style="0" customWidth="1"/>
    <col min="31" max="31" width="12.00390625" style="0" customWidth="1"/>
  </cols>
  <sheetData>
    <row r="1" spans="1:41" ht="12.75">
      <c r="A1" s="39">
        <f>Main!C6</f>
        <v>500000</v>
      </c>
      <c r="B1" s="39">
        <f>Main!D6</f>
        <v>500000</v>
      </c>
      <c r="C1" s="36">
        <v>6378245</v>
      </c>
      <c r="D1" s="36">
        <v>0.0818133340169312</v>
      </c>
      <c r="E1" s="36">
        <v>500000</v>
      </c>
      <c r="F1" s="36">
        <v>500000</v>
      </c>
      <c r="G1" s="36">
        <v>0.99975</v>
      </c>
      <c r="H1" s="36">
        <v>46</v>
      </c>
      <c r="I1" s="36">
        <v>25</v>
      </c>
      <c r="J1" s="37">
        <f>H1*PI()/180</f>
        <v>0.8028514559173915</v>
      </c>
      <c r="K1" s="37">
        <f>I1*PI()/180</f>
        <v>0.4363323129985824</v>
      </c>
      <c r="L1">
        <f>C1/SQRT(1-D1*D1*SIN(J1)*SIN(J1))</f>
        <v>6389319.330900989</v>
      </c>
      <c r="M1" s="38">
        <f>C1*(1-D1*D1)/POWER((1-D1*D1*SIN(J1)*SIN(J1)),1.5)</f>
        <v>6368610.665221737</v>
      </c>
      <c r="N1">
        <f>SQRT(L1*M1)</f>
        <v>6378956.594481847</v>
      </c>
      <c r="O1">
        <f>SQRT(1+((D1*D1*POWER(COS(J1),4))/(1-D1*D1)))</f>
        <v>1.0007842412925876</v>
      </c>
      <c r="P1">
        <f>(1+SIN(J1))/(1-SIN(J1))</f>
        <v>6.126054931954179</v>
      </c>
      <c r="Q1">
        <f>(1-D1*SIN(J1))/(1+D1*SIN(J1))</f>
        <v>0.8888388362269155</v>
      </c>
      <c r="R1">
        <f>POWER(P1*POWER(Q1,D1),O1)</f>
        <v>6.07586315436753</v>
      </c>
      <c r="S1">
        <f>(R1-1)/(R1+1)</f>
        <v>0.7173489712325043</v>
      </c>
      <c r="T1">
        <f>(O1+SIN(J1))*(1-S1)/((O1-SIN(J1))*(1+S1))</f>
        <v>1.0059099573084456</v>
      </c>
      <c r="U1">
        <f>T1*R1</f>
        <v>6.1117712462217995</v>
      </c>
      <c r="V1">
        <f>ASIN((U1-1)/(U1+1))</f>
        <v>0.8020403272374093</v>
      </c>
      <c r="W1">
        <f>2*N1*G1*TAN(PI()/4-V1/2)</f>
        <v>5159261.133283356</v>
      </c>
      <c r="X1">
        <f>4*N1*G1*TAN(V1)+W1</f>
        <v>31532223.846150912</v>
      </c>
      <c r="Y1">
        <f>ATAN((A1-E1)/(X1+B1-F1))</f>
        <v>0</v>
      </c>
      <c r="Z1">
        <f>ATAN((A1-E1)/(W1-B1+F1))-Y1</f>
        <v>0</v>
      </c>
      <c r="AA1">
        <f>V1+2*ATAN((B1-F1-(A1-E1)*TAN(Z1/2))/(2*N1*G1))</f>
        <v>0.8020403272374093</v>
      </c>
      <c r="AB1">
        <f>Z1+2*Y1+K1</f>
        <v>0.4363323129985824</v>
      </c>
      <c r="AC1">
        <f>K1+(AB1-K1)/O1</f>
        <v>0.4363323129985824</v>
      </c>
      <c r="AD1">
        <f>(0.5*LN((1+SIN(AA1))/(T1*(1-SIN(AA1)))))/O1</f>
        <v>0.9014550727871262</v>
      </c>
      <c r="AE1">
        <f>2*ATAN(POWER(EXP(1),AD1))-PI()/2</f>
        <v>0.7994971083605589</v>
      </c>
      <c r="AF1">
        <f>LN(TAN(AE1/2+PI()/4)*POWER((1-$D1*SIN(AE1))/(1+$D1*SIN(AE1)),$D1/2))</f>
        <v>0.8966503355750665</v>
      </c>
      <c r="AG1">
        <f>AE1-(AF1-$AD1)*COS(AE1)*(1-$D1*$D1*SIN(AE1)*SIN(AE1))/(1-$D1*$D1)</f>
        <v>0.8028573001759285</v>
      </c>
      <c r="AH1">
        <f>LN(TAN(AG1/2+PI()/4)*POWER((1-$D1*SIN(AG1))/(1+$D1*SIN(AG1)),$D1/2))</f>
        <v>0.9014634586851127</v>
      </c>
      <c r="AI1">
        <f>AG1-(AH1-$AD1)*COS(AG1)*(1-$D1*$D1*SIN(AG1)*SIN(AG1))/(1-$D1*$D1)</f>
        <v>0.8028514559351907</v>
      </c>
      <c r="AJ1">
        <f>LN(TAN(AI1/2+PI()/4)*POWER((1-$D1*SIN(AI1))/(1+$D1*SIN(AI1)),$D1/2))</f>
        <v>0.9014550728126658</v>
      </c>
      <c r="AK1">
        <f>AI1-(AJ1-$AD1)*COS(AI1)*(1-$D1*$D1*SIN(AI1)*SIN(AI1))/(1-$D1*$D1)</f>
        <v>0.8028514559173917</v>
      </c>
      <c r="AL1">
        <f>LN(TAN(AK1/2+PI()/4)*POWER((1-$D1*SIN(AK1))/(1+$D1*SIN(AK1)),$D1/2))</f>
        <v>0.9014550727871267</v>
      </c>
      <c r="AM1">
        <f>AK1-(AL1-$AD1)*COS(AK1)*(1-$D1*$D1*SIN(AK1)*SIN(AK1))/(1-$D1*$D1)</f>
        <v>0.8028514559173914</v>
      </c>
      <c r="AN1" s="9">
        <f>AM1*180/PI()</f>
        <v>45.999999999999986</v>
      </c>
      <c r="AO1" s="9">
        <f>AC1*180/PI()</f>
        <v>25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"/>
  <sheetViews>
    <sheetView workbookViewId="0" topLeftCell="T1">
      <selection activeCell="AF1" sqref="AF1"/>
    </sheetView>
  </sheetViews>
  <sheetFormatPr defaultColWidth="9.140625" defaultRowHeight="12.75"/>
  <cols>
    <col min="21" max="21" width="10.7109375" style="0" customWidth="1"/>
    <col min="22" max="22" width="12.140625" style="0" customWidth="1"/>
  </cols>
  <sheetData>
    <row r="1" spans="1:33" ht="12.75">
      <c r="A1" s="8">
        <f>Main!G13</f>
        <v>46.55319195393293</v>
      </c>
      <c r="B1" s="8">
        <f>Main!H13</f>
        <v>24.389485826640918</v>
      </c>
      <c r="C1" s="36">
        <v>6378245</v>
      </c>
      <c r="D1" s="36">
        <v>0.0818133340169312</v>
      </c>
      <c r="E1" s="36">
        <v>500000</v>
      </c>
      <c r="F1" s="36">
        <v>500000</v>
      </c>
      <c r="G1" s="36">
        <v>0.99975</v>
      </c>
      <c r="H1" s="36">
        <v>46</v>
      </c>
      <c r="I1" s="36">
        <v>25</v>
      </c>
      <c r="J1" s="37">
        <f aca="true" t="shared" si="0" ref="J1:K3">H1*PI()/180</f>
        <v>0.8028514559173915</v>
      </c>
      <c r="K1" s="37">
        <f t="shared" si="0"/>
        <v>0.4363323129985824</v>
      </c>
      <c r="L1">
        <f aca="true" t="shared" si="1" ref="L1:M3">A1*PI()/180</f>
        <v>0.812506476909062</v>
      </c>
      <c r="M1">
        <f t="shared" si="1"/>
        <v>0.42567683054337496</v>
      </c>
      <c r="N1">
        <f>C1/SQRT(1-D1*D1*SIN(J1)*SIN(J1))</f>
        <v>6389319.330900989</v>
      </c>
      <c r="O1" s="38">
        <f>C1*(1-D1*D1)/POWER((1-D1*D1*SIN(J1)*SIN(J1)),1.5)</f>
        <v>6368610.665221737</v>
      </c>
      <c r="P1">
        <f>SQRT(N1*O1)</f>
        <v>6378956.594481847</v>
      </c>
      <c r="Q1">
        <f>SQRT(1+((D1*D1*POWER(COS(J1),4))/(1-D1*D1)))</f>
        <v>1.0007842412925876</v>
      </c>
      <c r="R1">
        <f>(1+SIN(J1))/(1-SIN(J1))</f>
        <v>6.126054931954179</v>
      </c>
      <c r="S1">
        <f>(1-D1*SIN(J1))/(1+D1*SIN(J1))</f>
        <v>0.8888388362269155</v>
      </c>
      <c r="T1">
        <f>POWER(R1*POWER(S1,D1),Q1)</f>
        <v>6.07586315436753</v>
      </c>
      <c r="U1">
        <f>(T1-1)/(T1+1)</f>
        <v>0.7173489712325043</v>
      </c>
      <c r="V1">
        <f>(Q1+SIN(J1))*(1-U1)/((Q1-SIN(J1))*(1+U1))</f>
        <v>1.0059099573084456</v>
      </c>
      <c r="W1">
        <f>V1*T1</f>
        <v>6.1117712462217995</v>
      </c>
      <c r="X1">
        <f>ASIN((W1-1)/(W1+1))</f>
        <v>0.8020403272374093</v>
      </c>
      <c r="Y1">
        <f>K1</f>
        <v>0.4363323129985824</v>
      </c>
      <c r="Z1">
        <f>Q1*(M1-Y1)+Y1</f>
        <v>0.4256684740740411</v>
      </c>
      <c r="AA1">
        <f>(1+SIN(L1))/(1-SIN(L1))</f>
        <v>6.299619317746542</v>
      </c>
      <c r="AB1">
        <f>(1-D1*SIN(L1))/(1+D1*SIN(L1))</f>
        <v>0.8878654139898827</v>
      </c>
      <c r="AC1">
        <f>V1*POWER(AA1*POWER(AB1,D1),Q1)</f>
        <v>6.284504790665596</v>
      </c>
      <c r="AD1">
        <f>ASIN((AC1-1)/(AC1+1))</f>
        <v>0.8116801573500578</v>
      </c>
      <c r="AE1">
        <f>1+SIN(AD1)*SIN(X1)+COS(AD1)*COS(X1)*COS(Z1-Y1)</f>
        <v>1.999926329342952</v>
      </c>
      <c r="AF1" s="9">
        <f>E1+2*P1*G1*COS(AD1)*SIN(Z1-Y1)/AE1</f>
        <v>453191.15813276113</v>
      </c>
      <c r="AG1" s="9">
        <f>F1+2*P1*G1*(SIN(AD1)*COS(X1)-COS(AD1)*SIN(X1)*COS(Z1-Y1))/AE1</f>
        <v>561657.3918266685</v>
      </c>
    </row>
    <row r="2" spans="1:33" ht="12.75">
      <c r="A2" s="8">
        <f>Main!G19</f>
        <v>45.99999173296576</v>
      </c>
      <c r="B2" s="8">
        <f>Main!H19</f>
        <v>24.999983434303783</v>
      </c>
      <c r="C2" s="36">
        <v>6378245</v>
      </c>
      <c r="D2" s="36">
        <v>0.0818133340169312</v>
      </c>
      <c r="E2" s="36">
        <v>500000</v>
      </c>
      <c r="F2" s="36">
        <v>500000</v>
      </c>
      <c r="G2" s="36">
        <v>0.99975</v>
      </c>
      <c r="H2" s="36">
        <v>46</v>
      </c>
      <c r="I2" s="36">
        <v>25</v>
      </c>
      <c r="J2" s="37">
        <f t="shared" si="0"/>
        <v>0.8028514559173915</v>
      </c>
      <c r="K2" s="37">
        <f t="shared" si="0"/>
        <v>0.4363323129985824</v>
      </c>
      <c r="L2">
        <f t="shared" si="1"/>
        <v>0.8028513116304248</v>
      </c>
      <c r="M2">
        <f t="shared" si="1"/>
        <v>0.43633202387264053</v>
      </c>
      <c r="N2">
        <f>C2/SQRT(1-D2*D2*SIN(J2)*SIN(J2))</f>
        <v>6389319.330900989</v>
      </c>
      <c r="O2" s="38">
        <f>C2*(1-D2*D2)/POWER((1-D2*D2*SIN(J2)*SIN(J2)),1.5)</f>
        <v>6368610.665221737</v>
      </c>
      <c r="P2">
        <f>SQRT(N2*O2)</f>
        <v>6378956.594481847</v>
      </c>
      <c r="Q2">
        <f>SQRT(1+((D2*D2*POWER(COS(J2),4))/(1-D2*D2)))</f>
        <v>1.0007842412925876</v>
      </c>
      <c r="R2">
        <f>(1+SIN(J2))/(1-SIN(J2))</f>
        <v>6.126054931954179</v>
      </c>
      <c r="S2">
        <f>(1-D2*SIN(J2))/(1+D2*SIN(J2))</f>
        <v>0.8888388362269155</v>
      </c>
      <c r="T2">
        <f>POWER(R2*POWER(S2,D2),Q2)</f>
        <v>6.07586315436753</v>
      </c>
      <c r="U2">
        <f>(T2-1)/(T2+1)</f>
        <v>0.7173489712325043</v>
      </c>
      <c r="V2">
        <f>(Q2+SIN(J2))*(1-U2)/((Q2-SIN(J2))*(1+U2))</f>
        <v>1.0059099573084456</v>
      </c>
      <c r="W2">
        <f>V2*T2</f>
        <v>6.1117712462217995</v>
      </c>
      <c r="X2">
        <f>ASIN((W2-1)/(W2+1))</f>
        <v>0.8020403272374093</v>
      </c>
      <c r="Y2">
        <f>K2</f>
        <v>0.4363323129985824</v>
      </c>
      <c r="Z2">
        <f>Q2*(M2-Y2)+Y2</f>
        <v>0.436332023645896</v>
      </c>
      <c r="AA2">
        <f>(1+SIN(L2))/(1-SIN(L2))</f>
        <v>6.1260523870783885</v>
      </c>
      <c r="AB2">
        <f>(1-D2*SIN(L2))/(1+D2*SIN(L2))</f>
        <v>0.8888388508548268</v>
      </c>
      <c r="AC2">
        <f>V2*POWER(AA2*POWER(AB2,D2),Q2)</f>
        <v>6.111768713524087</v>
      </c>
      <c r="AD2">
        <f>ASIN((AC2-1)/(AC2+1))</f>
        <v>0.8020401831844594</v>
      </c>
      <c r="AE2">
        <f>1+SIN(AD2)*SIN(X2)+COS(AD2)*COS(X2)*COS(Z2-Y2)</f>
        <v>1.9999999999999696</v>
      </c>
      <c r="AF2" s="9">
        <f>E2+2*P2*G2*COS(AD2)*SIN(Z2-Y2)/AE2</f>
        <v>499998.7170657323</v>
      </c>
      <c r="AG2" s="9">
        <f>F2+2*P2*G2*(SIN(AD2)*COS(X2)-COS(AD2)*SIN(X2)*COS(Z2-Y2))/AE2</f>
        <v>499999.08132234594</v>
      </c>
    </row>
    <row r="3" spans="1:33" ht="12.75">
      <c r="A3" s="8">
        <f>Main!G25</f>
        <v>46.553180073009436</v>
      </c>
      <c r="B3" s="8">
        <f>Main!H25</f>
        <v>24.389471479419246</v>
      </c>
      <c r="C3" s="36">
        <v>6378245</v>
      </c>
      <c r="D3" s="36">
        <v>0.0818133340169312</v>
      </c>
      <c r="E3" s="36">
        <v>500000</v>
      </c>
      <c r="F3" s="36">
        <v>500000</v>
      </c>
      <c r="G3" s="36">
        <v>0.99975</v>
      </c>
      <c r="H3" s="36">
        <v>46</v>
      </c>
      <c r="I3" s="36">
        <v>25</v>
      </c>
      <c r="J3" s="37">
        <f t="shared" si="0"/>
        <v>0.8028514559173915</v>
      </c>
      <c r="K3" s="37">
        <f t="shared" si="0"/>
        <v>0.4363323129985824</v>
      </c>
      <c r="L3">
        <f t="shared" si="1"/>
        <v>0.8125062695478289</v>
      </c>
      <c r="M3">
        <f t="shared" si="1"/>
        <v>0.42567658013711823</v>
      </c>
      <c r="N3">
        <f>C3/SQRT(1-D3*D3*SIN(J3)*SIN(J3))</f>
        <v>6389319.330900989</v>
      </c>
      <c r="O3" s="38">
        <f>C3*(1-D3*D3)/POWER((1-D3*D3*SIN(J3)*SIN(J3)),1.5)</f>
        <v>6368610.665221737</v>
      </c>
      <c r="P3">
        <f>SQRT(N3*O3)</f>
        <v>6378956.594481847</v>
      </c>
      <c r="Q3">
        <f>SQRT(1+((D3*D3*POWER(COS(J3),4))/(1-D3*D3)))</f>
        <v>1.0007842412925876</v>
      </c>
      <c r="R3">
        <f>(1+SIN(J3))/(1-SIN(J3))</f>
        <v>6.126054931954179</v>
      </c>
      <c r="S3">
        <f>(1-D3*SIN(J3))/(1+D3*SIN(J3))</f>
        <v>0.8888388362269155</v>
      </c>
      <c r="T3">
        <f>POWER(R3*POWER(S3,D3),Q3)</f>
        <v>6.07586315436753</v>
      </c>
      <c r="U3">
        <f>(T3-1)/(T3+1)</f>
        <v>0.7173489712325043</v>
      </c>
      <c r="V3">
        <f>(Q3+SIN(J3))*(1-U3)/((Q3-SIN(J3))*(1+U3))</f>
        <v>1.0059099573084456</v>
      </c>
      <c r="W3">
        <f>V3*T3</f>
        <v>6.1117712462217995</v>
      </c>
      <c r="X3">
        <f>ASIN((W3-1)/(W3+1))</f>
        <v>0.8020403272374093</v>
      </c>
      <c r="Y3">
        <f>K3</f>
        <v>0.4363323129985824</v>
      </c>
      <c r="Z3">
        <f>Q3*(M3-Y3)+Y3</f>
        <v>0.4256682234714055</v>
      </c>
      <c r="AA3">
        <f>(1+SIN(L3))/(1-SIN(L3))</f>
        <v>6.299615518611307</v>
      </c>
      <c r="AB3">
        <f>(1-D3*SIN(L3))/(1+D3*SIN(L3))</f>
        <v>0.8878654347797019</v>
      </c>
      <c r="AC3">
        <f>V3*POWER(AA3*POWER(AB3,D3),Q3)</f>
        <v>6.284501009721912</v>
      </c>
      <c r="AD3">
        <f>ASIN((AC3-1)/(AC3+1))</f>
        <v>0.8116799503050217</v>
      </c>
      <c r="AE3">
        <f>1+SIN(AD3)*SIN(X3)+COS(AD3)*COS(X3)*COS(Z3-Y3)</f>
        <v>1.9999263300540564</v>
      </c>
      <c r="AF3" s="9">
        <f>E3+2*P3*G3*COS(AD3)*SIN(Z3-Y3)/AE3</f>
        <v>453190.0479576164</v>
      </c>
      <c r="AG3" s="9">
        <f>F3+2*P3*G3*(SIN(AD3)*COS(X3)-COS(AD3)*SIN(X3)*COS(Z3-Y3))/AE3</f>
        <v>561656.0798871352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Timar</dc:creator>
  <cp:keywords/>
  <dc:description/>
  <cp:lastModifiedBy>TG</cp:lastModifiedBy>
  <dcterms:created xsi:type="dcterms:W3CDTF">2002-11-25T20:55:07Z</dcterms:created>
  <dcterms:modified xsi:type="dcterms:W3CDTF">2013-06-12T20:56:25Z</dcterms:modified>
  <cp:category/>
  <cp:version/>
  <cp:contentType/>
  <cp:contentStatus/>
</cp:coreProperties>
</file>